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natha\Movac Dropbox\movac.vc\18. ESG\ESG_VC\Movac Portfolio Company Resources\For portcos\"/>
    </mc:Choice>
  </mc:AlternateContent>
  <xr:revisionPtr revIDLastSave="0" documentId="13_ncr:1_{0BE66512-998F-4F8B-A396-05E46C70988D}" xr6:coauthVersionLast="47" xr6:coauthVersionMax="47" xr10:uidLastSave="{00000000-0000-0000-0000-000000000000}"/>
  <bookViews>
    <workbookView xWindow="-11940" yWindow="-21720" windowWidth="51840" windowHeight="21120" xr2:uid="{00000000-000D-0000-FFFF-FFFF00000000}"/>
  </bookViews>
  <sheets>
    <sheet name="Summary" sheetId="1" r:id="rId1"/>
    <sheet name="Scope 1 &gt;&gt;&gt;" sheetId="12" r:id="rId2"/>
    <sheet name="Fuel" sheetId="2" r:id="rId3"/>
    <sheet name="Refrigerants &amp; other gases" sheetId="6" r:id="rId4"/>
    <sheet name="Scope 2 &gt;&gt;&gt;" sheetId="13" r:id="rId5"/>
    <sheet name="Purchased energy" sheetId="4" r:id="rId6"/>
    <sheet name="Scope 3 Optional &gt;&gt;&gt;" sheetId="11" r:id="rId7"/>
    <sheet name="T&amp;D losses" sheetId="3" r:id="rId8"/>
    <sheet name="Working from home" sheetId="5" r:id="rId9"/>
    <sheet name="Passenger transport" sheetId="7" r:id="rId10"/>
    <sheet name="Freight transport" sheetId="8" r:id="rId11"/>
    <sheet name="Water supply &amp; Wastewater treat" sheetId="9" r:id="rId12"/>
    <sheet name="Waste"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4" l="1"/>
  <c r="G20" i="4"/>
  <c r="F20" i="4"/>
  <c r="E20" i="4" s="1"/>
  <c r="G10" i="1"/>
  <c r="G11" i="1"/>
  <c r="G13" i="1"/>
  <c r="G14" i="1"/>
  <c r="G15" i="1"/>
  <c r="F15" i="1"/>
  <c r="F14" i="1"/>
  <c r="F13" i="1"/>
  <c r="F11" i="1"/>
  <c r="F10" i="1"/>
  <c r="E10" i="1"/>
  <c r="E11" i="1"/>
  <c r="E13" i="1"/>
  <c r="E14" i="1"/>
  <c r="E15" i="1"/>
  <c r="D15" i="1"/>
  <c r="D14" i="1"/>
  <c r="D13" i="1"/>
  <c r="D11" i="1"/>
  <c r="D10" i="1"/>
  <c r="E258" i="8"/>
  <c r="E264" i="8"/>
  <c r="D5" i="1"/>
  <c r="H59" i="10"/>
  <c r="G59" i="10"/>
  <c r="F59" i="10"/>
  <c r="E59" i="10" s="1"/>
  <c r="H58" i="10"/>
  <c r="G58" i="10"/>
  <c r="F58" i="10"/>
  <c r="E58" i="10"/>
  <c r="H57" i="10"/>
  <c r="G57" i="10"/>
  <c r="F57" i="10"/>
  <c r="E57" i="10" s="1"/>
  <c r="H56" i="10"/>
  <c r="G56" i="10"/>
  <c r="F56" i="10"/>
  <c r="E56" i="10"/>
  <c r="H55" i="10"/>
  <c r="G55" i="10"/>
  <c r="F55" i="10"/>
  <c r="E55" i="10"/>
  <c r="H54" i="10"/>
  <c r="G54" i="10"/>
  <c r="F54" i="10"/>
  <c r="E54" i="10" s="1"/>
  <c r="H53" i="10"/>
  <c r="G53" i="10"/>
  <c r="F53" i="10"/>
  <c r="E53" i="10"/>
  <c r="H52" i="10"/>
  <c r="E52" i="10" s="1"/>
  <c r="G52" i="10"/>
  <c r="F52" i="10"/>
  <c r="H51" i="10"/>
  <c r="G51" i="10"/>
  <c r="F51" i="10"/>
  <c r="H46" i="10"/>
  <c r="G46" i="10"/>
  <c r="F46" i="10"/>
  <c r="H45" i="10"/>
  <c r="G45" i="10"/>
  <c r="F45" i="10"/>
  <c r="E45" i="10" s="1"/>
  <c r="H40" i="10"/>
  <c r="G40" i="10"/>
  <c r="F40" i="10"/>
  <c r="E40" i="10"/>
  <c r="H39" i="10"/>
  <c r="G39" i="10"/>
  <c r="F39" i="10"/>
  <c r="E39" i="10"/>
  <c r="H38" i="10"/>
  <c r="G38" i="10"/>
  <c r="F38" i="10"/>
  <c r="E38" i="10" s="1"/>
  <c r="H37" i="10"/>
  <c r="G37" i="10"/>
  <c r="F37" i="10"/>
  <c r="E37" i="10"/>
  <c r="H36" i="10"/>
  <c r="G36" i="10"/>
  <c r="F36" i="10"/>
  <c r="E36" i="10"/>
  <c r="H35" i="10"/>
  <c r="G35" i="10"/>
  <c r="F35" i="10"/>
  <c r="E35" i="10" s="1"/>
  <c r="H34" i="10"/>
  <c r="G34" i="10"/>
  <c r="F34" i="10"/>
  <c r="E34" i="10"/>
  <c r="H33" i="10"/>
  <c r="G33" i="10"/>
  <c r="F33" i="10"/>
  <c r="E33" i="10"/>
  <c r="H32" i="10"/>
  <c r="G32" i="10"/>
  <c r="F32" i="10"/>
  <c r="E32" i="10" s="1"/>
  <c r="H31" i="10"/>
  <c r="G31" i="10"/>
  <c r="F31" i="10"/>
  <c r="E31" i="10"/>
  <c r="H30" i="10"/>
  <c r="G30" i="10"/>
  <c r="F30" i="10"/>
  <c r="E30" i="10"/>
  <c r="H29" i="10"/>
  <c r="G29" i="10"/>
  <c r="F29" i="10"/>
  <c r="E29" i="10" s="1"/>
  <c r="H24" i="10"/>
  <c r="G24" i="10"/>
  <c r="F24" i="10"/>
  <c r="E24" i="10"/>
  <c r="H23" i="10"/>
  <c r="G23" i="10"/>
  <c r="F23" i="10"/>
  <c r="E23" i="10"/>
  <c r="H22" i="10"/>
  <c r="G22" i="10"/>
  <c r="F22" i="10"/>
  <c r="E22" i="10" s="1"/>
  <c r="H21" i="10"/>
  <c r="G21" i="10"/>
  <c r="F21" i="10"/>
  <c r="E21" i="10"/>
  <c r="H20" i="10"/>
  <c r="G20" i="10"/>
  <c r="F20" i="10"/>
  <c r="E20" i="10"/>
  <c r="H19" i="10"/>
  <c r="G19" i="10"/>
  <c r="F19" i="10"/>
  <c r="E19" i="10" s="1"/>
  <c r="H18" i="10"/>
  <c r="G18" i="10"/>
  <c r="F18" i="10"/>
  <c r="E18" i="10"/>
  <c r="H17" i="10"/>
  <c r="G17" i="10"/>
  <c r="F17" i="10"/>
  <c r="E17" i="10"/>
  <c r="H16" i="10"/>
  <c r="G16" i="10"/>
  <c r="F16" i="10"/>
  <c r="E16" i="10" s="1"/>
  <c r="H15" i="10"/>
  <c r="G15" i="10"/>
  <c r="F15" i="10"/>
  <c r="E15" i="10"/>
  <c r="H14" i="10"/>
  <c r="G14" i="10"/>
  <c r="F14" i="10"/>
  <c r="E14" i="10"/>
  <c r="H13" i="10"/>
  <c r="G13" i="10"/>
  <c r="F13" i="10"/>
  <c r="E13" i="10" s="1"/>
  <c r="H27" i="9"/>
  <c r="G27" i="9"/>
  <c r="H26" i="9"/>
  <c r="G26" i="9"/>
  <c r="F26" i="9"/>
  <c r="F27" i="9" s="1"/>
  <c r="E26" i="9"/>
  <c r="H25" i="9"/>
  <c r="G25" i="9"/>
  <c r="F25" i="9"/>
  <c r="E25" i="9"/>
  <c r="E27" i="9" s="1"/>
  <c r="H21" i="9"/>
  <c r="H9" i="9" s="1"/>
  <c r="H20" i="9"/>
  <c r="G20" i="9"/>
  <c r="F20" i="9"/>
  <c r="E20" i="9"/>
  <c r="H19" i="9"/>
  <c r="G19" i="9"/>
  <c r="F19" i="9"/>
  <c r="E19" i="9"/>
  <c r="H18" i="9"/>
  <c r="G18" i="9"/>
  <c r="E18" i="9" s="1"/>
  <c r="F18" i="9"/>
  <c r="H17" i="9"/>
  <c r="G17" i="9"/>
  <c r="F17" i="9"/>
  <c r="E17" i="9"/>
  <c r="H16" i="9"/>
  <c r="G16" i="9"/>
  <c r="F16" i="9"/>
  <c r="E16" i="9"/>
  <c r="H15" i="9"/>
  <c r="G15" i="9"/>
  <c r="E15" i="9" s="1"/>
  <c r="F15" i="9"/>
  <c r="H14" i="9"/>
  <c r="G14" i="9"/>
  <c r="F14" i="9"/>
  <c r="F21" i="9" s="1"/>
  <c r="E14" i="9"/>
  <c r="H13" i="9"/>
  <c r="G13" i="9"/>
  <c r="F13" i="9"/>
  <c r="E13" i="9"/>
  <c r="H325" i="8"/>
  <c r="G325" i="8"/>
  <c r="F325" i="8"/>
  <c r="E325" i="8"/>
  <c r="H320" i="8"/>
  <c r="G320" i="8"/>
  <c r="F320" i="8"/>
  <c r="E320" i="8"/>
  <c r="H319" i="8"/>
  <c r="G319" i="8"/>
  <c r="F319" i="8"/>
  <c r="E319" i="8" s="1"/>
  <c r="H318" i="8"/>
  <c r="G318" i="8"/>
  <c r="F318" i="8"/>
  <c r="E318" i="8"/>
  <c r="H317" i="8"/>
  <c r="E317" i="8" s="1"/>
  <c r="G317" i="8"/>
  <c r="F317" i="8"/>
  <c r="H316" i="8"/>
  <c r="G316" i="8"/>
  <c r="F316" i="8"/>
  <c r="E316" i="8" s="1"/>
  <c r="H315" i="8"/>
  <c r="G315" i="8"/>
  <c r="F315" i="8"/>
  <c r="E315" i="8"/>
  <c r="H314" i="8"/>
  <c r="G314" i="8"/>
  <c r="E314" i="8" s="1"/>
  <c r="F314" i="8"/>
  <c r="H313" i="8"/>
  <c r="G313" i="8"/>
  <c r="F313" i="8"/>
  <c r="E313" i="8" s="1"/>
  <c r="H312" i="8"/>
  <c r="G312" i="8"/>
  <c r="F312" i="8"/>
  <c r="E312" i="8"/>
  <c r="H311" i="8"/>
  <c r="G311" i="8"/>
  <c r="F311" i="8"/>
  <c r="E311" i="8" s="1"/>
  <c r="H310" i="8"/>
  <c r="G310" i="8"/>
  <c r="F310" i="8"/>
  <c r="E310" i="8" s="1"/>
  <c r="H309" i="8"/>
  <c r="G309" i="8"/>
  <c r="F309" i="8"/>
  <c r="E309" i="8"/>
  <c r="H308" i="8"/>
  <c r="G308" i="8"/>
  <c r="E308" i="8" s="1"/>
  <c r="F308" i="8"/>
  <c r="H307" i="8"/>
  <c r="G307" i="8"/>
  <c r="F307" i="8"/>
  <c r="E307" i="8" s="1"/>
  <c r="H306" i="8"/>
  <c r="G306" i="8"/>
  <c r="F306" i="8"/>
  <c r="E306" i="8"/>
  <c r="H305" i="8"/>
  <c r="G305" i="8"/>
  <c r="F305" i="8"/>
  <c r="E305" i="8" s="1"/>
  <c r="H304" i="8"/>
  <c r="G304" i="8"/>
  <c r="F304" i="8"/>
  <c r="H303" i="8"/>
  <c r="G303" i="8"/>
  <c r="F303" i="8"/>
  <c r="E303" i="8"/>
  <c r="H302" i="8"/>
  <c r="G302" i="8"/>
  <c r="F302" i="8"/>
  <c r="E302" i="8"/>
  <c r="H301" i="8"/>
  <c r="G301" i="8"/>
  <c r="F301" i="8"/>
  <c r="H300" i="8"/>
  <c r="G300" i="8"/>
  <c r="F300" i="8"/>
  <c r="E300" i="8"/>
  <c r="H299" i="8"/>
  <c r="G299" i="8"/>
  <c r="F299" i="8"/>
  <c r="E299" i="8"/>
  <c r="H298" i="8"/>
  <c r="G298" i="8"/>
  <c r="F298" i="8"/>
  <c r="H297" i="8"/>
  <c r="G297" i="8"/>
  <c r="F297" i="8"/>
  <c r="E297" i="8"/>
  <c r="H296" i="8"/>
  <c r="G296" i="8"/>
  <c r="F296" i="8"/>
  <c r="E296" i="8"/>
  <c r="H295" i="8"/>
  <c r="G295" i="8"/>
  <c r="F295" i="8"/>
  <c r="H294" i="8"/>
  <c r="G294" i="8"/>
  <c r="F294" i="8"/>
  <c r="E294" i="8"/>
  <c r="H293" i="8"/>
  <c r="G293" i="8"/>
  <c r="F293" i="8"/>
  <c r="E293" i="8"/>
  <c r="H292" i="8"/>
  <c r="G292" i="8"/>
  <c r="F292" i="8"/>
  <c r="E292" i="8" s="1"/>
  <c r="H287" i="8"/>
  <c r="G287" i="8"/>
  <c r="E287" i="8" s="1"/>
  <c r="F287" i="8"/>
  <c r="H286" i="8"/>
  <c r="G286" i="8"/>
  <c r="F286" i="8"/>
  <c r="E286" i="8"/>
  <c r="H285" i="8"/>
  <c r="G285" i="8"/>
  <c r="F285" i="8"/>
  <c r="E285" i="8"/>
  <c r="H279" i="8"/>
  <c r="G279" i="8"/>
  <c r="F279" i="8"/>
  <c r="E279" i="8"/>
  <c r="H278" i="8"/>
  <c r="G278" i="8"/>
  <c r="F278" i="8"/>
  <c r="E278" i="8"/>
  <c r="H277" i="8"/>
  <c r="H280" i="8" s="1"/>
  <c r="G277" i="8"/>
  <c r="G280" i="8" s="1"/>
  <c r="F277" i="8"/>
  <c r="F280" i="8" s="1"/>
  <c r="H271" i="8"/>
  <c r="G271" i="8"/>
  <c r="F271" i="8"/>
  <c r="E271" i="8"/>
  <c r="H270" i="8"/>
  <c r="G270" i="8"/>
  <c r="F270" i="8"/>
  <c r="E270" i="8" s="1"/>
  <c r="H269" i="8"/>
  <c r="H272" i="8" s="1"/>
  <c r="G269" i="8"/>
  <c r="G272" i="8" s="1"/>
  <c r="F269" i="8"/>
  <c r="F272" i="8" s="1"/>
  <c r="E269" i="8"/>
  <c r="H263" i="8"/>
  <c r="G263" i="8"/>
  <c r="F263" i="8"/>
  <c r="E263" i="8"/>
  <c r="H262" i="8"/>
  <c r="H264" i="8" s="1"/>
  <c r="G262" i="8"/>
  <c r="G264" i="8" s="1"/>
  <c r="F262" i="8"/>
  <c r="F264" i="8" s="1"/>
  <c r="H257" i="8"/>
  <c r="G257" i="8"/>
  <c r="E257" i="8" s="1"/>
  <c r="F257" i="8"/>
  <c r="H256" i="8"/>
  <c r="G256" i="8"/>
  <c r="F256" i="8"/>
  <c r="E256" i="8"/>
  <c r="H255" i="8"/>
  <c r="G255" i="8"/>
  <c r="F255" i="8"/>
  <c r="E255" i="8"/>
  <c r="H254" i="8"/>
  <c r="G254" i="8"/>
  <c r="E254" i="8" s="1"/>
  <c r="F254" i="8"/>
  <c r="H253" i="8"/>
  <c r="G253" i="8"/>
  <c r="F253" i="8"/>
  <c r="E253" i="8"/>
  <c r="H251" i="8"/>
  <c r="G251" i="8"/>
  <c r="F251" i="8"/>
  <c r="E251" i="8"/>
  <c r="H250" i="8"/>
  <c r="G250" i="8"/>
  <c r="E250" i="8" s="1"/>
  <c r="F250" i="8"/>
  <c r="H249" i="8"/>
  <c r="G249" i="8"/>
  <c r="F249" i="8"/>
  <c r="E249" i="8"/>
  <c r="H248" i="8"/>
  <c r="G248" i="8"/>
  <c r="F248" i="8"/>
  <c r="E248" i="8"/>
  <c r="H247" i="8"/>
  <c r="G247" i="8"/>
  <c r="F247" i="8"/>
  <c r="H246" i="8"/>
  <c r="G246" i="8"/>
  <c r="F246" i="8"/>
  <c r="E246" i="8"/>
  <c r="H245" i="8"/>
  <c r="G245" i="8"/>
  <c r="F245" i="8"/>
  <c r="E245" i="8"/>
  <c r="H244" i="8"/>
  <c r="G244" i="8"/>
  <c r="E244" i="8" s="1"/>
  <c r="F244" i="8"/>
  <c r="H243" i="8"/>
  <c r="G243" i="8"/>
  <c r="F243" i="8"/>
  <c r="E243" i="8"/>
  <c r="H241" i="8"/>
  <c r="G241" i="8"/>
  <c r="F241" i="8"/>
  <c r="E241" i="8"/>
  <c r="H240" i="8"/>
  <c r="G240" i="8"/>
  <c r="F240" i="8"/>
  <c r="H239" i="8"/>
  <c r="G239" i="8"/>
  <c r="F239" i="8"/>
  <c r="E239" i="8"/>
  <c r="H238" i="8"/>
  <c r="G238" i="8"/>
  <c r="F238" i="8"/>
  <c r="E238" i="8"/>
  <c r="H237" i="8"/>
  <c r="G237" i="8"/>
  <c r="E237" i="8" s="1"/>
  <c r="F237" i="8"/>
  <c r="H236" i="8"/>
  <c r="G236" i="8"/>
  <c r="F236" i="8"/>
  <c r="E236" i="8"/>
  <c r="H235" i="8"/>
  <c r="G235" i="8"/>
  <c r="F235" i="8"/>
  <c r="E235" i="8"/>
  <c r="H234" i="8"/>
  <c r="G234" i="8"/>
  <c r="E234" i="8" s="1"/>
  <c r="F234" i="8"/>
  <c r="H233" i="8"/>
  <c r="G233" i="8"/>
  <c r="F233" i="8"/>
  <c r="F258" i="8" s="1"/>
  <c r="E233" i="8"/>
  <c r="H227" i="8"/>
  <c r="G227" i="8"/>
  <c r="F227" i="8"/>
  <c r="E227" i="8"/>
  <c r="H226" i="8"/>
  <c r="G226" i="8"/>
  <c r="F226" i="8"/>
  <c r="E226" i="8" s="1"/>
  <c r="H225" i="8"/>
  <c r="G225" i="8"/>
  <c r="F225" i="8"/>
  <c r="E225" i="8"/>
  <c r="H224" i="8"/>
  <c r="G224" i="8"/>
  <c r="F224" i="8"/>
  <c r="E224" i="8"/>
  <c r="H223" i="8"/>
  <c r="G223" i="8"/>
  <c r="F223" i="8"/>
  <c r="E223" i="8" s="1"/>
  <c r="H221" i="8"/>
  <c r="G221" i="8"/>
  <c r="F221" i="8"/>
  <c r="E221" i="8"/>
  <c r="H220" i="8"/>
  <c r="G220" i="8"/>
  <c r="F220" i="8"/>
  <c r="E220" i="8"/>
  <c r="H219" i="8"/>
  <c r="G219" i="8"/>
  <c r="F219" i="8"/>
  <c r="E219" i="8" s="1"/>
  <c r="H218" i="8"/>
  <c r="G218" i="8"/>
  <c r="F218" i="8"/>
  <c r="E218" i="8"/>
  <c r="H217" i="8"/>
  <c r="G217" i="8"/>
  <c r="F217" i="8"/>
  <c r="E217" i="8"/>
  <c r="H216" i="8"/>
  <c r="G216" i="8"/>
  <c r="F216" i="8"/>
  <c r="E216" i="8" s="1"/>
  <c r="H215" i="8"/>
  <c r="G215" i="8"/>
  <c r="F215" i="8"/>
  <c r="E215" i="8"/>
  <c r="H214" i="8"/>
  <c r="E214" i="8" s="1"/>
  <c r="G214" i="8"/>
  <c r="F214" i="8"/>
  <c r="H213" i="8"/>
  <c r="G213" i="8"/>
  <c r="F213" i="8"/>
  <c r="E213" i="8" s="1"/>
  <c r="H211" i="8"/>
  <c r="G211" i="8"/>
  <c r="F211" i="8"/>
  <c r="E211" i="8"/>
  <c r="H210" i="8"/>
  <c r="G210" i="8"/>
  <c r="E210" i="8" s="1"/>
  <c r="F210" i="8"/>
  <c r="H209" i="8"/>
  <c r="G209" i="8"/>
  <c r="F209" i="8"/>
  <c r="E209" i="8" s="1"/>
  <c r="H208" i="8"/>
  <c r="G208" i="8"/>
  <c r="F208" i="8"/>
  <c r="E208" i="8"/>
  <c r="H207" i="8"/>
  <c r="G207" i="8"/>
  <c r="F207" i="8"/>
  <c r="E207" i="8" s="1"/>
  <c r="H206" i="8"/>
  <c r="G206" i="8"/>
  <c r="F206" i="8"/>
  <c r="E206" i="8" s="1"/>
  <c r="H205" i="8"/>
  <c r="G205" i="8"/>
  <c r="F205" i="8"/>
  <c r="E205" i="8"/>
  <c r="H204" i="8"/>
  <c r="G204" i="8"/>
  <c r="E204" i="8" s="1"/>
  <c r="F204" i="8"/>
  <c r="H203" i="8"/>
  <c r="G203" i="8"/>
  <c r="F203" i="8"/>
  <c r="E203" i="8" s="1"/>
  <c r="H197" i="8"/>
  <c r="G197" i="8"/>
  <c r="F197" i="8"/>
  <c r="E197" i="8"/>
  <c r="H196" i="8"/>
  <c r="G196" i="8"/>
  <c r="F196" i="8"/>
  <c r="E196" i="8" s="1"/>
  <c r="H195" i="8"/>
  <c r="G195" i="8"/>
  <c r="F195" i="8"/>
  <c r="E195" i="8"/>
  <c r="H194" i="8"/>
  <c r="G194" i="8"/>
  <c r="F194" i="8"/>
  <c r="E194" i="8"/>
  <c r="H193" i="8"/>
  <c r="G193" i="8"/>
  <c r="F193" i="8"/>
  <c r="E193" i="8" s="1"/>
  <c r="H191" i="8"/>
  <c r="G191" i="8"/>
  <c r="F191" i="8"/>
  <c r="E191" i="8"/>
  <c r="H190" i="8"/>
  <c r="G190" i="8"/>
  <c r="F190" i="8"/>
  <c r="E190" i="8"/>
  <c r="H189" i="8"/>
  <c r="G189" i="8"/>
  <c r="F189" i="8"/>
  <c r="E189" i="8" s="1"/>
  <c r="H188" i="8"/>
  <c r="G188" i="8"/>
  <c r="F188" i="8"/>
  <c r="E188" i="8"/>
  <c r="H187" i="8"/>
  <c r="G187" i="8"/>
  <c r="F187" i="8"/>
  <c r="E187" i="8"/>
  <c r="H186" i="8"/>
  <c r="G186" i="8"/>
  <c r="F186" i="8"/>
  <c r="E186" i="8" s="1"/>
  <c r="H185" i="8"/>
  <c r="G185" i="8"/>
  <c r="F185" i="8"/>
  <c r="E185" i="8"/>
  <c r="H184" i="8"/>
  <c r="G184" i="8"/>
  <c r="F184" i="8"/>
  <c r="E184" i="8"/>
  <c r="H183" i="8"/>
  <c r="G183" i="8"/>
  <c r="F183" i="8"/>
  <c r="E183" i="8" s="1"/>
  <c r="H181" i="8"/>
  <c r="G181" i="8"/>
  <c r="F181" i="8"/>
  <c r="E181" i="8"/>
  <c r="H180" i="8"/>
  <c r="G180" i="8"/>
  <c r="F180" i="8"/>
  <c r="E180" i="8"/>
  <c r="H179" i="8"/>
  <c r="G179" i="8"/>
  <c r="F179" i="8"/>
  <c r="E179" i="8" s="1"/>
  <c r="H178" i="8"/>
  <c r="G178" i="8"/>
  <c r="F178" i="8"/>
  <c r="E178" i="8"/>
  <c r="H177" i="8"/>
  <c r="G177" i="8"/>
  <c r="F177" i="8"/>
  <c r="E177" i="8"/>
  <c r="H176" i="8"/>
  <c r="G176" i="8"/>
  <c r="F176" i="8"/>
  <c r="E176" i="8" s="1"/>
  <c r="H175" i="8"/>
  <c r="G175" i="8"/>
  <c r="F175" i="8"/>
  <c r="E175" i="8"/>
  <c r="H174" i="8"/>
  <c r="G174" i="8"/>
  <c r="F174" i="8"/>
  <c r="E174" i="8"/>
  <c r="H173" i="8"/>
  <c r="H198" i="8" s="1"/>
  <c r="G173" i="8"/>
  <c r="G198" i="8" s="1"/>
  <c r="F173" i="8"/>
  <c r="F198" i="8" s="1"/>
  <c r="H167" i="8"/>
  <c r="G167" i="8"/>
  <c r="F167" i="8"/>
  <c r="E167" i="8"/>
  <c r="H166" i="8"/>
  <c r="G166" i="8"/>
  <c r="F166" i="8"/>
  <c r="E166" i="8"/>
  <c r="H165" i="8"/>
  <c r="G165" i="8"/>
  <c r="F165" i="8"/>
  <c r="E165" i="8"/>
  <c r="H164" i="8"/>
  <c r="G164" i="8"/>
  <c r="F164" i="8"/>
  <c r="E164" i="8"/>
  <c r="H159" i="8"/>
  <c r="G159" i="8"/>
  <c r="F159" i="8"/>
  <c r="E159" i="8"/>
  <c r="H158" i="8"/>
  <c r="G158" i="8"/>
  <c r="F158" i="8"/>
  <c r="E158" i="8"/>
  <c r="H157" i="8"/>
  <c r="G157" i="8"/>
  <c r="F157" i="8"/>
  <c r="E157" i="8"/>
  <c r="H156" i="8"/>
  <c r="G156" i="8"/>
  <c r="F156" i="8"/>
  <c r="E156" i="8"/>
  <c r="H155" i="8"/>
  <c r="G155" i="8"/>
  <c r="F155" i="8"/>
  <c r="E155" i="8"/>
  <c r="H153" i="8"/>
  <c r="G153" i="8"/>
  <c r="F153" i="8"/>
  <c r="E153" i="8"/>
  <c r="H152" i="8"/>
  <c r="G152" i="8"/>
  <c r="F152" i="8"/>
  <c r="E152" i="8"/>
  <c r="H151" i="8"/>
  <c r="G151" i="8"/>
  <c r="F151" i="8"/>
  <c r="E151" i="8"/>
  <c r="H150" i="8"/>
  <c r="G150" i="8"/>
  <c r="F150" i="8"/>
  <c r="E150" i="8"/>
  <c r="H149" i="8"/>
  <c r="G149" i="8"/>
  <c r="F149" i="8"/>
  <c r="E149" i="8"/>
  <c r="H147" i="8"/>
  <c r="G147" i="8"/>
  <c r="F147" i="8"/>
  <c r="E147" i="8"/>
  <c r="H146" i="8"/>
  <c r="G146" i="8"/>
  <c r="F146" i="8"/>
  <c r="E146" i="8"/>
  <c r="H145" i="8"/>
  <c r="G145" i="8"/>
  <c r="F145" i="8"/>
  <c r="E145" i="8"/>
  <c r="H144" i="8"/>
  <c r="G144" i="8"/>
  <c r="F144" i="8"/>
  <c r="E144" i="8"/>
  <c r="H143" i="8"/>
  <c r="G143" i="8"/>
  <c r="F143" i="8"/>
  <c r="E143" i="8"/>
  <c r="H141" i="8"/>
  <c r="G141" i="8"/>
  <c r="F141" i="8"/>
  <c r="E141" i="8"/>
  <c r="H140" i="8"/>
  <c r="G140" i="8"/>
  <c r="F140" i="8"/>
  <c r="E140" i="8"/>
  <c r="H139" i="8"/>
  <c r="G139" i="8"/>
  <c r="F139" i="8"/>
  <c r="E139" i="8"/>
  <c r="H138" i="8"/>
  <c r="G138" i="8"/>
  <c r="F138" i="8"/>
  <c r="E138" i="8"/>
  <c r="H137" i="8"/>
  <c r="G137" i="8"/>
  <c r="F137" i="8"/>
  <c r="E137" i="8"/>
  <c r="H135" i="8"/>
  <c r="G135" i="8"/>
  <c r="F135" i="8"/>
  <c r="E135" i="8"/>
  <c r="H134" i="8"/>
  <c r="G134" i="8"/>
  <c r="F134" i="8"/>
  <c r="E134" i="8"/>
  <c r="H133" i="8"/>
  <c r="G133" i="8"/>
  <c r="F133" i="8"/>
  <c r="E133" i="8"/>
  <c r="H132" i="8"/>
  <c r="G132" i="8"/>
  <c r="F132" i="8"/>
  <c r="E132" i="8"/>
  <c r="H131" i="8"/>
  <c r="G131" i="8"/>
  <c r="F131" i="8"/>
  <c r="E131" i="8"/>
  <c r="H129" i="8"/>
  <c r="G129" i="8"/>
  <c r="F129" i="8"/>
  <c r="E129" i="8"/>
  <c r="H128" i="8"/>
  <c r="G128" i="8"/>
  <c r="F128" i="8"/>
  <c r="E128" i="8"/>
  <c r="H127" i="8"/>
  <c r="G127" i="8"/>
  <c r="F127" i="8"/>
  <c r="E127" i="8"/>
  <c r="H126" i="8"/>
  <c r="G126" i="8"/>
  <c r="F126" i="8"/>
  <c r="E126" i="8"/>
  <c r="H125" i="8"/>
  <c r="G125" i="8"/>
  <c r="F125" i="8"/>
  <c r="E125" i="8"/>
  <c r="H123" i="8"/>
  <c r="G123" i="8"/>
  <c r="F123" i="8"/>
  <c r="E123" i="8"/>
  <c r="H122" i="8"/>
  <c r="G122" i="8"/>
  <c r="F122" i="8"/>
  <c r="E122" i="8"/>
  <c r="H121" i="8"/>
  <c r="G121" i="8"/>
  <c r="F121" i="8"/>
  <c r="E121" i="8"/>
  <c r="H120" i="8"/>
  <c r="G120" i="8"/>
  <c r="F120" i="8"/>
  <c r="E120" i="8"/>
  <c r="H119" i="8"/>
  <c r="G119" i="8"/>
  <c r="F119" i="8"/>
  <c r="E119" i="8"/>
  <c r="H117" i="8"/>
  <c r="G117" i="8"/>
  <c r="F117" i="8"/>
  <c r="E117" i="8"/>
  <c r="H116" i="8"/>
  <c r="G116" i="8"/>
  <c r="F116" i="8"/>
  <c r="E116" i="8"/>
  <c r="H115" i="8"/>
  <c r="G115" i="8"/>
  <c r="F115" i="8"/>
  <c r="E115" i="8"/>
  <c r="H114" i="8"/>
  <c r="G114" i="8"/>
  <c r="F114" i="8"/>
  <c r="E114" i="8"/>
  <c r="H113" i="8"/>
  <c r="G113" i="8"/>
  <c r="F113" i="8"/>
  <c r="E113" i="8"/>
  <c r="H111" i="8"/>
  <c r="G111" i="8"/>
  <c r="F111" i="8"/>
  <c r="E111" i="8"/>
  <c r="H110" i="8"/>
  <c r="G110" i="8"/>
  <c r="F110" i="8"/>
  <c r="E110" i="8"/>
  <c r="H109" i="8"/>
  <c r="G109" i="8"/>
  <c r="F109" i="8"/>
  <c r="E109" i="8"/>
  <c r="H108" i="8"/>
  <c r="G108" i="8"/>
  <c r="F108" i="8"/>
  <c r="E108" i="8"/>
  <c r="H107" i="8"/>
  <c r="H160" i="8" s="1"/>
  <c r="G107" i="8"/>
  <c r="G160" i="8" s="1"/>
  <c r="F107" i="8"/>
  <c r="F160" i="8" s="1"/>
  <c r="E107" i="8"/>
  <c r="E160" i="8" s="1"/>
  <c r="H101" i="8"/>
  <c r="G101" i="8"/>
  <c r="E101" i="8" s="1"/>
  <c r="F101" i="8"/>
  <c r="H100" i="8"/>
  <c r="G100" i="8"/>
  <c r="F100" i="8"/>
  <c r="E100" i="8"/>
  <c r="H99" i="8"/>
  <c r="G99" i="8"/>
  <c r="F99" i="8"/>
  <c r="E99" i="8"/>
  <c r="H98" i="8"/>
  <c r="G98" i="8"/>
  <c r="E98" i="8" s="1"/>
  <c r="F98" i="8"/>
  <c r="H97" i="8"/>
  <c r="G97" i="8"/>
  <c r="F97" i="8"/>
  <c r="E97" i="8"/>
  <c r="H95" i="8"/>
  <c r="G95" i="8"/>
  <c r="F95" i="8"/>
  <c r="E95" i="8"/>
  <c r="H94" i="8"/>
  <c r="G94" i="8"/>
  <c r="E94" i="8" s="1"/>
  <c r="F94" i="8"/>
  <c r="H93" i="8"/>
  <c r="G93" i="8"/>
  <c r="F93" i="8"/>
  <c r="E93" i="8"/>
  <c r="H92" i="8"/>
  <c r="G92" i="8"/>
  <c r="F92" i="8"/>
  <c r="E92" i="8"/>
  <c r="H91" i="8"/>
  <c r="G91" i="8"/>
  <c r="E91" i="8" s="1"/>
  <c r="F91" i="8"/>
  <c r="H89" i="8"/>
  <c r="G89" i="8"/>
  <c r="F89" i="8"/>
  <c r="E89" i="8"/>
  <c r="H88" i="8"/>
  <c r="G88" i="8"/>
  <c r="F88" i="8"/>
  <c r="E88" i="8"/>
  <c r="H87" i="8"/>
  <c r="G87" i="8"/>
  <c r="E87" i="8" s="1"/>
  <c r="F87" i="8"/>
  <c r="H86" i="8"/>
  <c r="G86" i="8"/>
  <c r="F86" i="8"/>
  <c r="E86" i="8"/>
  <c r="H85" i="8"/>
  <c r="G85" i="8"/>
  <c r="F85" i="8"/>
  <c r="E85" i="8"/>
  <c r="H83" i="8"/>
  <c r="G83" i="8"/>
  <c r="E83" i="8" s="1"/>
  <c r="F83" i="8"/>
  <c r="H82" i="8"/>
  <c r="G82" i="8"/>
  <c r="F82" i="8"/>
  <c r="E82" i="8"/>
  <c r="H81" i="8"/>
  <c r="G81" i="8"/>
  <c r="F81" i="8"/>
  <c r="E81" i="8"/>
  <c r="H80" i="8"/>
  <c r="G80" i="8"/>
  <c r="E80" i="8" s="1"/>
  <c r="F80" i="8"/>
  <c r="H79" i="8"/>
  <c r="G79" i="8"/>
  <c r="F79" i="8"/>
  <c r="E79" i="8"/>
  <c r="H77" i="8"/>
  <c r="G77" i="8"/>
  <c r="F77" i="8"/>
  <c r="E77" i="8"/>
  <c r="H76" i="8"/>
  <c r="G76" i="8"/>
  <c r="E76" i="8" s="1"/>
  <c r="F76" i="8"/>
  <c r="H75" i="8"/>
  <c r="G75" i="8"/>
  <c r="F75" i="8"/>
  <c r="E75" i="8"/>
  <c r="H74" i="8"/>
  <c r="G74" i="8"/>
  <c r="F74" i="8"/>
  <c r="E74" i="8"/>
  <c r="H73" i="8"/>
  <c r="G73" i="8"/>
  <c r="E73" i="8" s="1"/>
  <c r="F73" i="8"/>
  <c r="H71" i="8"/>
  <c r="G71" i="8"/>
  <c r="F71" i="8"/>
  <c r="E71" i="8"/>
  <c r="H70" i="8"/>
  <c r="G70" i="8"/>
  <c r="F70" i="8"/>
  <c r="E70" i="8"/>
  <c r="H69" i="8"/>
  <c r="G69" i="8"/>
  <c r="F69" i="8"/>
  <c r="H68" i="8"/>
  <c r="G68" i="8"/>
  <c r="F68" i="8"/>
  <c r="E68" i="8"/>
  <c r="H67" i="8"/>
  <c r="G67" i="8"/>
  <c r="F67" i="8"/>
  <c r="E67" i="8"/>
  <c r="H65" i="8"/>
  <c r="G65" i="8"/>
  <c r="E65" i="8" s="1"/>
  <c r="F65" i="8"/>
  <c r="H64" i="8"/>
  <c r="G64" i="8"/>
  <c r="F64" i="8"/>
  <c r="E64" i="8"/>
  <c r="H63" i="8"/>
  <c r="G63" i="8"/>
  <c r="F63" i="8"/>
  <c r="E63" i="8"/>
  <c r="H62" i="8"/>
  <c r="G62" i="8"/>
  <c r="F62" i="8"/>
  <c r="H61" i="8"/>
  <c r="G61" i="8"/>
  <c r="F61" i="8"/>
  <c r="E61" i="8"/>
  <c r="H59" i="8"/>
  <c r="G59" i="8"/>
  <c r="F59" i="8"/>
  <c r="E59" i="8"/>
  <c r="H58" i="8"/>
  <c r="G58" i="8"/>
  <c r="E58" i="8" s="1"/>
  <c r="F58" i="8"/>
  <c r="H57" i="8"/>
  <c r="G57" i="8"/>
  <c r="F57" i="8"/>
  <c r="E57" i="8"/>
  <c r="H56" i="8"/>
  <c r="G56" i="8"/>
  <c r="F56" i="8"/>
  <c r="E56" i="8"/>
  <c r="H55" i="8"/>
  <c r="G55" i="8"/>
  <c r="E55" i="8" s="1"/>
  <c r="F55" i="8"/>
  <c r="H53" i="8"/>
  <c r="G53" i="8"/>
  <c r="F53" i="8"/>
  <c r="E53" i="8"/>
  <c r="H52" i="8"/>
  <c r="G52" i="8"/>
  <c r="F52" i="8"/>
  <c r="E52" i="8"/>
  <c r="H51" i="8"/>
  <c r="G51" i="8"/>
  <c r="E51" i="8" s="1"/>
  <c r="F51" i="8"/>
  <c r="H50" i="8"/>
  <c r="G50" i="8"/>
  <c r="F50" i="8"/>
  <c r="E50" i="8"/>
  <c r="H49" i="8"/>
  <c r="G49" i="8"/>
  <c r="F49" i="8"/>
  <c r="F102" i="8" s="1"/>
  <c r="E49" i="8"/>
  <c r="H44" i="8"/>
  <c r="G44" i="8"/>
  <c r="H43" i="8"/>
  <c r="G43" i="8"/>
  <c r="F43" i="8"/>
  <c r="E43" i="8"/>
  <c r="H42" i="8"/>
  <c r="G42" i="8"/>
  <c r="F42" i="8"/>
  <c r="E42" i="8"/>
  <c r="H41" i="8"/>
  <c r="G41" i="8"/>
  <c r="E41" i="8" s="1"/>
  <c r="F41" i="8"/>
  <c r="H40" i="8"/>
  <c r="G40" i="8"/>
  <c r="F40" i="8"/>
  <c r="E40" i="8"/>
  <c r="H39" i="8"/>
  <c r="G39" i="8"/>
  <c r="F39" i="8"/>
  <c r="E39" i="8"/>
  <c r="H37" i="8"/>
  <c r="G37" i="8"/>
  <c r="E37" i="8" s="1"/>
  <c r="F37" i="8"/>
  <c r="H36" i="8"/>
  <c r="G36" i="8"/>
  <c r="F36" i="8"/>
  <c r="E36" i="8"/>
  <c r="H35" i="8"/>
  <c r="G35" i="8"/>
  <c r="F35" i="8"/>
  <c r="E35" i="8"/>
  <c r="H34" i="8"/>
  <c r="G34" i="8"/>
  <c r="E34" i="8" s="1"/>
  <c r="F34" i="8"/>
  <c r="H33" i="8"/>
  <c r="G33" i="8"/>
  <c r="F33" i="8"/>
  <c r="E33" i="8"/>
  <c r="H31" i="8"/>
  <c r="G31" i="8"/>
  <c r="F31" i="8"/>
  <c r="E31" i="8"/>
  <c r="H30" i="8"/>
  <c r="G30" i="8"/>
  <c r="E30" i="8" s="1"/>
  <c r="F30" i="8"/>
  <c r="H29" i="8"/>
  <c r="G29" i="8"/>
  <c r="F29" i="8"/>
  <c r="E29" i="8"/>
  <c r="H28" i="8"/>
  <c r="G28" i="8"/>
  <c r="F28" i="8"/>
  <c r="E28" i="8"/>
  <c r="H27" i="8"/>
  <c r="G27" i="8"/>
  <c r="F27" i="8"/>
  <c r="H25" i="8"/>
  <c r="G25" i="8"/>
  <c r="F25" i="8"/>
  <c r="E25" i="8"/>
  <c r="H24" i="8"/>
  <c r="G24" i="8"/>
  <c r="F24" i="8"/>
  <c r="E24" i="8"/>
  <c r="H23" i="8"/>
  <c r="G23" i="8"/>
  <c r="E23" i="8" s="1"/>
  <c r="F23" i="8"/>
  <c r="H22" i="8"/>
  <c r="G22" i="8"/>
  <c r="F22" i="8"/>
  <c r="F44" i="8" s="1"/>
  <c r="E22" i="8"/>
  <c r="H21" i="8"/>
  <c r="G21" i="8"/>
  <c r="F21" i="8"/>
  <c r="E21" i="8"/>
  <c r="H16" i="8"/>
  <c r="H15" i="8"/>
  <c r="G15" i="8"/>
  <c r="F15" i="8"/>
  <c r="E15" i="8"/>
  <c r="H14" i="8"/>
  <c r="G14" i="8"/>
  <c r="F14" i="8"/>
  <c r="E14" i="8"/>
  <c r="H13" i="8"/>
  <c r="G13" i="8"/>
  <c r="E13" i="8" s="1"/>
  <c r="E16" i="8" s="1"/>
  <c r="F13" i="8"/>
  <c r="F16" i="8" s="1"/>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H270" i="7"/>
  <c r="G270" i="7"/>
  <c r="F270" i="7"/>
  <c r="E270" i="7" s="1"/>
  <c r="H269" i="7"/>
  <c r="G269" i="7"/>
  <c r="F269" i="7"/>
  <c r="H268" i="7"/>
  <c r="G268" i="7"/>
  <c r="F268" i="7"/>
  <c r="H267" i="7"/>
  <c r="G267" i="7"/>
  <c r="F267" i="7"/>
  <c r="E267" i="7"/>
  <c r="H266" i="7"/>
  <c r="H271" i="7" s="1"/>
  <c r="G266" i="7"/>
  <c r="G271" i="7" s="1"/>
  <c r="F266" i="7"/>
  <c r="E266" i="7" s="1"/>
  <c r="H261" i="7"/>
  <c r="G261" i="7"/>
  <c r="F261" i="7"/>
  <c r="E261" i="7"/>
  <c r="H260" i="7"/>
  <c r="G260" i="7"/>
  <c r="F260" i="7"/>
  <c r="E260" i="7"/>
  <c r="H259" i="7"/>
  <c r="G259" i="7"/>
  <c r="F259" i="7"/>
  <c r="H258" i="7"/>
  <c r="G258" i="7"/>
  <c r="F258" i="7"/>
  <c r="E258" i="7"/>
  <c r="H257" i="7"/>
  <c r="G257" i="7"/>
  <c r="F257" i="7"/>
  <c r="E257" i="7"/>
  <c r="H255" i="7"/>
  <c r="G255" i="7"/>
  <c r="F255" i="7"/>
  <c r="H254" i="7"/>
  <c r="G254" i="7"/>
  <c r="F254" i="7"/>
  <c r="E254" i="7"/>
  <c r="H253" i="7"/>
  <c r="G253" i="7"/>
  <c r="F253" i="7"/>
  <c r="E253" i="7"/>
  <c r="H247" i="7"/>
  <c r="G247" i="7"/>
  <c r="F247" i="7"/>
  <c r="E247" i="7"/>
  <c r="H246" i="7"/>
  <c r="G246" i="7"/>
  <c r="F246" i="7"/>
  <c r="E246" i="7"/>
  <c r="H245" i="7"/>
  <c r="G245" i="7"/>
  <c r="F245" i="7"/>
  <c r="E245" i="7" s="1"/>
  <c r="H244" i="7"/>
  <c r="G244" i="7"/>
  <c r="F244" i="7"/>
  <c r="E244" i="7" s="1"/>
  <c r="H243" i="7"/>
  <c r="G243" i="7"/>
  <c r="F243" i="7"/>
  <c r="E243" i="7"/>
  <c r="H241" i="7"/>
  <c r="G241" i="7"/>
  <c r="F241" i="7"/>
  <c r="E241" i="7" s="1"/>
  <c r="H240" i="7"/>
  <c r="G240" i="7"/>
  <c r="F240" i="7"/>
  <c r="E240" i="7"/>
  <c r="H239" i="7"/>
  <c r="H248" i="7" s="1"/>
  <c r="G239" i="7"/>
  <c r="G248" i="7" s="1"/>
  <c r="F239" i="7"/>
  <c r="F248" i="7" s="1"/>
  <c r="E239" i="7"/>
  <c r="H234" i="7"/>
  <c r="G234" i="7"/>
  <c r="H233" i="7"/>
  <c r="G233" i="7"/>
  <c r="F233" i="7"/>
  <c r="E233" i="7" s="1"/>
  <c r="H232" i="7"/>
  <c r="G232" i="7"/>
  <c r="F232" i="7"/>
  <c r="E232" i="7"/>
  <c r="H231" i="7"/>
  <c r="G231" i="7"/>
  <c r="F231" i="7"/>
  <c r="E231" i="7" s="1"/>
  <c r="H230" i="7"/>
  <c r="G230" i="7"/>
  <c r="F230" i="7"/>
  <c r="F234" i="7" s="1"/>
  <c r="E230" i="7"/>
  <c r="H225" i="7"/>
  <c r="G225" i="7"/>
  <c r="F225" i="7"/>
  <c r="H224" i="7"/>
  <c r="G224" i="7"/>
  <c r="F224" i="7"/>
  <c r="E224" i="7"/>
  <c r="H223" i="7"/>
  <c r="G223" i="7"/>
  <c r="F223" i="7"/>
  <c r="E223" i="7" s="1"/>
  <c r="H222" i="7"/>
  <c r="H226" i="7" s="1"/>
  <c r="G222" i="7"/>
  <c r="F222" i="7"/>
  <c r="F218" i="7"/>
  <c r="H217" i="7"/>
  <c r="E217" i="7" s="1"/>
  <c r="G217" i="7"/>
  <c r="F217" i="7"/>
  <c r="H216" i="7"/>
  <c r="G216" i="7"/>
  <c r="F216" i="7"/>
  <c r="H215" i="7"/>
  <c r="G215" i="7"/>
  <c r="F215" i="7"/>
  <c r="E215" i="7"/>
  <c r="H214" i="7"/>
  <c r="G214" i="7"/>
  <c r="E214" i="7" s="1"/>
  <c r="F214" i="7"/>
  <c r="H213" i="7"/>
  <c r="G213" i="7"/>
  <c r="F213" i="7"/>
  <c r="H212" i="7"/>
  <c r="G212" i="7"/>
  <c r="F212" i="7"/>
  <c r="E212" i="7"/>
  <c r="H211" i="7"/>
  <c r="G211" i="7"/>
  <c r="F211" i="7"/>
  <c r="E211" i="7" s="1"/>
  <c r="H210" i="7"/>
  <c r="G210" i="7"/>
  <c r="F210" i="7"/>
  <c r="H209" i="7"/>
  <c r="G209" i="7"/>
  <c r="F209" i="7"/>
  <c r="E209" i="7"/>
  <c r="H204" i="7"/>
  <c r="G204" i="7"/>
  <c r="F204" i="7"/>
  <c r="E204" i="7" s="1"/>
  <c r="H203" i="7"/>
  <c r="G203" i="7"/>
  <c r="F203" i="7"/>
  <c r="E203" i="7"/>
  <c r="H202" i="7"/>
  <c r="G202" i="7"/>
  <c r="F202" i="7"/>
  <c r="E202" i="7" s="1"/>
  <c r="H201" i="7"/>
  <c r="G201" i="7"/>
  <c r="F201" i="7"/>
  <c r="H200" i="7"/>
  <c r="G200" i="7"/>
  <c r="F200" i="7"/>
  <c r="E200" i="7" s="1"/>
  <c r="H199" i="7"/>
  <c r="G199" i="7"/>
  <c r="F199" i="7"/>
  <c r="E199" i="7"/>
  <c r="H198" i="7"/>
  <c r="G198" i="7"/>
  <c r="F198" i="7"/>
  <c r="H197" i="7"/>
  <c r="G197" i="7"/>
  <c r="F197" i="7"/>
  <c r="E197" i="7"/>
  <c r="H196" i="7"/>
  <c r="G196" i="7"/>
  <c r="F196" i="7"/>
  <c r="E196" i="7"/>
  <c r="H195" i="7"/>
  <c r="G195" i="7"/>
  <c r="G205" i="7" s="1"/>
  <c r="F195" i="7"/>
  <c r="H194" i="7"/>
  <c r="G194" i="7"/>
  <c r="F194" i="7"/>
  <c r="E194" i="7" s="1"/>
  <c r="H193" i="7"/>
  <c r="G193" i="7"/>
  <c r="F193" i="7"/>
  <c r="E193" i="7"/>
  <c r="H192" i="7"/>
  <c r="G192" i="7"/>
  <c r="F192" i="7"/>
  <c r="E192" i="7" s="1"/>
  <c r="H191" i="7"/>
  <c r="G191" i="7"/>
  <c r="F191" i="7"/>
  <c r="E191" i="7" s="1"/>
  <c r="H190" i="7"/>
  <c r="G190" i="7"/>
  <c r="E190" i="7" s="1"/>
  <c r="F190" i="7"/>
  <c r="H189" i="7"/>
  <c r="G189" i="7"/>
  <c r="F189" i="7"/>
  <c r="E189" i="7" s="1"/>
  <c r="H188" i="7"/>
  <c r="G188" i="7"/>
  <c r="F188" i="7"/>
  <c r="E188" i="7" s="1"/>
  <c r="H187" i="7"/>
  <c r="G187" i="7"/>
  <c r="F187" i="7"/>
  <c r="H186" i="7"/>
  <c r="G186" i="7"/>
  <c r="F186" i="7"/>
  <c r="E186" i="7" s="1"/>
  <c r="H185" i="7"/>
  <c r="G185" i="7"/>
  <c r="F185" i="7"/>
  <c r="E185" i="7"/>
  <c r="H184" i="7"/>
  <c r="H205" i="7" s="1"/>
  <c r="G184" i="7"/>
  <c r="F184" i="7"/>
  <c r="H183" i="7"/>
  <c r="G183" i="7"/>
  <c r="F183" i="7"/>
  <c r="E183" i="7" s="1"/>
  <c r="H182" i="7"/>
  <c r="G182" i="7"/>
  <c r="F182" i="7"/>
  <c r="E182" i="7"/>
  <c r="H181" i="7"/>
  <c r="G181" i="7"/>
  <c r="F181" i="7"/>
  <c r="E181" i="7" s="1"/>
  <c r="H176" i="7"/>
  <c r="G176" i="7"/>
  <c r="F176" i="7"/>
  <c r="E176" i="7"/>
  <c r="H175" i="7"/>
  <c r="G175" i="7"/>
  <c r="F175" i="7"/>
  <c r="E175" i="7"/>
  <c r="H174" i="7"/>
  <c r="G174" i="7"/>
  <c r="F174" i="7"/>
  <c r="H173" i="7"/>
  <c r="G173" i="7"/>
  <c r="F173" i="7"/>
  <c r="E173" i="7" s="1"/>
  <c r="H171" i="7"/>
  <c r="G171" i="7"/>
  <c r="F171" i="7"/>
  <c r="E171" i="7"/>
  <c r="H170" i="7"/>
  <c r="G170" i="7"/>
  <c r="F170" i="7"/>
  <c r="H169" i="7"/>
  <c r="G169" i="7"/>
  <c r="F169" i="7"/>
  <c r="E169" i="7"/>
  <c r="H168" i="7"/>
  <c r="G168" i="7"/>
  <c r="F168" i="7"/>
  <c r="E168" i="7"/>
  <c r="H167" i="7"/>
  <c r="G167" i="7"/>
  <c r="F167" i="7"/>
  <c r="H165" i="7"/>
  <c r="G165" i="7"/>
  <c r="F165" i="7"/>
  <c r="E165" i="7"/>
  <c r="H164" i="7"/>
  <c r="E164" i="7" s="1"/>
  <c r="G164" i="7"/>
  <c r="F164" i="7"/>
  <c r="H163" i="7"/>
  <c r="G163" i="7"/>
  <c r="F163" i="7"/>
  <c r="E163" i="7" s="1"/>
  <c r="H162" i="7"/>
  <c r="G162" i="7"/>
  <c r="F162" i="7"/>
  <c r="E162" i="7"/>
  <c r="H161" i="7"/>
  <c r="G161" i="7"/>
  <c r="E161" i="7" s="1"/>
  <c r="F161" i="7"/>
  <c r="H159" i="7"/>
  <c r="G159" i="7"/>
  <c r="F159" i="7"/>
  <c r="E159" i="7" s="1"/>
  <c r="H158" i="7"/>
  <c r="G158" i="7"/>
  <c r="F158" i="7"/>
  <c r="E158" i="7" s="1"/>
  <c r="H157" i="7"/>
  <c r="G157" i="7"/>
  <c r="F157" i="7"/>
  <c r="E157" i="7"/>
  <c r="H156" i="7"/>
  <c r="G156" i="7"/>
  <c r="F156" i="7"/>
  <c r="E156" i="7" s="1"/>
  <c r="H155" i="7"/>
  <c r="G155" i="7"/>
  <c r="F155" i="7"/>
  <c r="E155" i="7"/>
  <c r="H153" i="7"/>
  <c r="G153" i="7"/>
  <c r="F153" i="7"/>
  <c r="E153" i="7"/>
  <c r="H152" i="7"/>
  <c r="G152" i="7"/>
  <c r="F152" i="7"/>
  <c r="H151" i="7"/>
  <c r="G151" i="7"/>
  <c r="F151" i="7"/>
  <c r="E151" i="7" s="1"/>
  <c r="H150" i="7"/>
  <c r="G150" i="7"/>
  <c r="F150" i="7"/>
  <c r="E150" i="7"/>
  <c r="H149" i="7"/>
  <c r="G149" i="7"/>
  <c r="F149" i="7"/>
  <c r="H147" i="7"/>
  <c r="G147" i="7"/>
  <c r="F147" i="7"/>
  <c r="E147" i="7"/>
  <c r="H146" i="7"/>
  <c r="G146" i="7"/>
  <c r="E146" i="7" s="1"/>
  <c r="F146" i="7"/>
  <c r="H145" i="7"/>
  <c r="G145" i="7"/>
  <c r="F145" i="7"/>
  <c r="E145" i="7" s="1"/>
  <c r="H144" i="7"/>
  <c r="G144" i="7"/>
  <c r="F144" i="7"/>
  <c r="E144" i="7"/>
  <c r="H143" i="7"/>
  <c r="G143" i="7"/>
  <c r="F143" i="7"/>
  <c r="E143" i="7" s="1"/>
  <c r="H141" i="7"/>
  <c r="G141" i="7"/>
  <c r="F141" i="7"/>
  <c r="E141" i="7" s="1"/>
  <c r="H140" i="7"/>
  <c r="G140" i="7"/>
  <c r="F140" i="7"/>
  <c r="E140" i="7"/>
  <c r="H139" i="7"/>
  <c r="G139" i="7"/>
  <c r="E139" i="7" s="1"/>
  <c r="F139" i="7"/>
  <c r="H138" i="7"/>
  <c r="G138" i="7"/>
  <c r="F138" i="7"/>
  <c r="E138" i="7" s="1"/>
  <c r="H137" i="7"/>
  <c r="G137" i="7"/>
  <c r="F137" i="7"/>
  <c r="E137" i="7"/>
  <c r="H135" i="7"/>
  <c r="G135" i="7"/>
  <c r="F135" i="7"/>
  <c r="H134" i="7"/>
  <c r="G134" i="7"/>
  <c r="F134" i="7"/>
  <c r="H133" i="7"/>
  <c r="G133" i="7"/>
  <c r="F133" i="7"/>
  <c r="E133" i="7"/>
  <c r="H132" i="7"/>
  <c r="G132" i="7"/>
  <c r="E132" i="7" s="1"/>
  <c r="F132" i="7"/>
  <c r="H131" i="7"/>
  <c r="G131" i="7"/>
  <c r="F131" i="7"/>
  <c r="H129" i="7"/>
  <c r="G129" i="7"/>
  <c r="F129" i="7"/>
  <c r="E129" i="7"/>
  <c r="H128" i="7"/>
  <c r="G128" i="7"/>
  <c r="F128" i="7"/>
  <c r="E128" i="7" s="1"/>
  <c r="H127" i="7"/>
  <c r="G127" i="7"/>
  <c r="F127" i="7"/>
  <c r="H126" i="7"/>
  <c r="G126" i="7"/>
  <c r="F126" i="7"/>
  <c r="E126" i="7"/>
  <c r="H125" i="7"/>
  <c r="G125" i="7"/>
  <c r="F125" i="7"/>
  <c r="E125" i="7"/>
  <c r="H123" i="7"/>
  <c r="G123" i="7"/>
  <c r="F123" i="7"/>
  <c r="H122" i="7"/>
  <c r="G122" i="7"/>
  <c r="F122" i="7"/>
  <c r="E122" i="7"/>
  <c r="H121" i="7"/>
  <c r="G121" i="7"/>
  <c r="F121" i="7"/>
  <c r="E121" i="7"/>
  <c r="H120" i="7"/>
  <c r="H177" i="7" s="1"/>
  <c r="G120" i="7"/>
  <c r="F120" i="7"/>
  <c r="H119" i="7"/>
  <c r="G119" i="7"/>
  <c r="F119" i="7"/>
  <c r="E119" i="7"/>
  <c r="H113" i="7"/>
  <c r="G113" i="7"/>
  <c r="F113" i="7"/>
  <c r="E113" i="7" s="1"/>
  <c r="H112" i="7"/>
  <c r="G112" i="7"/>
  <c r="F112" i="7"/>
  <c r="E112" i="7" s="1"/>
  <c r="H111" i="7"/>
  <c r="G111" i="7"/>
  <c r="F111" i="7"/>
  <c r="E111" i="7"/>
  <c r="H110" i="7"/>
  <c r="G110" i="7"/>
  <c r="F110" i="7"/>
  <c r="E110" i="7" s="1"/>
  <c r="H108" i="7"/>
  <c r="G108" i="7"/>
  <c r="F108" i="7"/>
  <c r="E108" i="7"/>
  <c r="H107" i="7"/>
  <c r="G107" i="7"/>
  <c r="F107" i="7"/>
  <c r="E107" i="7"/>
  <c r="H106" i="7"/>
  <c r="G106" i="7"/>
  <c r="F106" i="7"/>
  <c r="E106" i="7" s="1"/>
  <c r="H105" i="7"/>
  <c r="G105" i="7"/>
  <c r="F105" i="7"/>
  <c r="E105" i="7" s="1"/>
  <c r="H104" i="7"/>
  <c r="G104" i="7"/>
  <c r="F104" i="7"/>
  <c r="E104" i="7"/>
  <c r="H102" i="7"/>
  <c r="G102" i="7"/>
  <c r="F102" i="7"/>
  <c r="E102" i="7" s="1"/>
  <c r="H101" i="7"/>
  <c r="G101" i="7"/>
  <c r="F101" i="7"/>
  <c r="E101" i="7"/>
  <c r="H100" i="7"/>
  <c r="G100" i="7"/>
  <c r="E100" i="7" s="1"/>
  <c r="F100" i="7"/>
  <c r="H99" i="7"/>
  <c r="G99" i="7"/>
  <c r="F99" i="7"/>
  <c r="E99" i="7" s="1"/>
  <c r="H98" i="7"/>
  <c r="G98" i="7"/>
  <c r="F98" i="7"/>
  <c r="E98" i="7"/>
  <c r="H96" i="7"/>
  <c r="G96" i="7"/>
  <c r="F96" i="7"/>
  <c r="E96" i="7" s="1"/>
  <c r="H95" i="7"/>
  <c r="G95" i="7"/>
  <c r="F95" i="7"/>
  <c r="E95" i="7" s="1"/>
  <c r="H94" i="7"/>
  <c r="G94" i="7"/>
  <c r="F94" i="7"/>
  <c r="E94" i="7"/>
  <c r="H93" i="7"/>
  <c r="G93" i="7"/>
  <c r="E93" i="7" s="1"/>
  <c r="F93" i="7"/>
  <c r="H92" i="7"/>
  <c r="G92" i="7"/>
  <c r="F92" i="7"/>
  <c r="E92" i="7" s="1"/>
  <c r="H90" i="7"/>
  <c r="G90" i="7"/>
  <c r="F90" i="7"/>
  <c r="E90" i="7"/>
  <c r="H89" i="7"/>
  <c r="G89" i="7"/>
  <c r="F89" i="7"/>
  <c r="E89" i="7" s="1"/>
  <c r="H88" i="7"/>
  <c r="G88" i="7"/>
  <c r="F88" i="7"/>
  <c r="H87" i="7"/>
  <c r="G87" i="7"/>
  <c r="F87" i="7"/>
  <c r="E87" i="7" s="1"/>
  <c r="H86" i="7"/>
  <c r="G86" i="7"/>
  <c r="F86" i="7"/>
  <c r="E86" i="7"/>
  <c r="H84" i="7"/>
  <c r="G84" i="7"/>
  <c r="F84" i="7"/>
  <c r="H83" i="7"/>
  <c r="G83" i="7"/>
  <c r="F83" i="7"/>
  <c r="E83" i="7"/>
  <c r="H82" i="7"/>
  <c r="G82" i="7"/>
  <c r="F82" i="7"/>
  <c r="E82" i="7"/>
  <c r="H81" i="7"/>
  <c r="G81" i="7"/>
  <c r="F81" i="7"/>
  <c r="H80" i="7"/>
  <c r="G80" i="7"/>
  <c r="F80" i="7"/>
  <c r="E80" i="7"/>
  <c r="H78" i="7"/>
  <c r="E78" i="7" s="1"/>
  <c r="G78" i="7"/>
  <c r="F78" i="7"/>
  <c r="H77" i="7"/>
  <c r="G77" i="7"/>
  <c r="F77" i="7"/>
  <c r="H76" i="7"/>
  <c r="G76" i="7"/>
  <c r="F76" i="7"/>
  <c r="E76" i="7"/>
  <c r="H75" i="7"/>
  <c r="G75" i="7"/>
  <c r="E75" i="7" s="1"/>
  <c r="F75" i="7"/>
  <c r="H74" i="7"/>
  <c r="G74" i="7"/>
  <c r="F74" i="7"/>
  <c r="E74" i="7" s="1"/>
  <c r="H72" i="7"/>
  <c r="G72" i="7"/>
  <c r="F72" i="7"/>
  <c r="E72" i="7"/>
  <c r="H71" i="7"/>
  <c r="G71" i="7"/>
  <c r="F71" i="7"/>
  <c r="E71" i="7" s="1"/>
  <c r="H70" i="7"/>
  <c r="G70" i="7"/>
  <c r="F70" i="7"/>
  <c r="E70" i="7" s="1"/>
  <c r="H69" i="7"/>
  <c r="G69" i="7"/>
  <c r="F69" i="7"/>
  <c r="E69" i="7" s="1"/>
  <c r="H68" i="7"/>
  <c r="G68" i="7"/>
  <c r="F68" i="7"/>
  <c r="E68" i="7" s="1"/>
  <c r="H66" i="7"/>
  <c r="G66" i="7"/>
  <c r="F66" i="7"/>
  <c r="H65" i="7"/>
  <c r="G65" i="7"/>
  <c r="F65" i="7"/>
  <c r="E65" i="7"/>
  <c r="H64" i="7"/>
  <c r="G64" i="7"/>
  <c r="F64" i="7"/>
  <c r="E64" i="7"/>
  <c r="H63" i="7"/>
  <c r="G63" i="7"/>
  <c r="F63" i="7"/>
  <c r="H62" i="7"/>
  <c r="G62" i="7"/>
  <c r="F62" i="7"/>
  <c r="E62" i="7" s="1"/>
  <c r="H60" i="7"/>
  <c r="G60" i="7"/>
  <c r="F60" i="7"/>
  <c r="E60" i="7"/>
  <c r="H59" i="7"/>
  <c r="G59" i="7"/>
  <c r="F59" i="7"/>
  <c r="H58" i="7"/>
  <c r="G58" i="7"/>
  <c r="F58" i="7"/>
  <c r="E58" i="7"/>
  <c r="H57" i="7"/>
  <c r="G57" i="7"/>
  <c r="E57" i="7" s="1"/>
  <c r="F57" i="7"/>
  <c r="H56" i="7"/>
  <c r="G56" i="7"/>
  <c r="G114" i="7" s="1"/>
  <c r="F56" i="7"/>
  <c r="E56" i="7" s="1"/>
  <c r="H50" i="7"/>
  <c r="G50" i="7"/>
  <c r="F50" i="7"/>
  <c r="H49" i="7"/>
  <c r="G49" i="7"/>
  <c r="F49" i="7"/>
  <c r="H47" i="7"/>
  <c r="G47" i="7"/>
  <c r="F47" i="7"/>
  <c r="E47" i="7"/>
  <c r="H46" i="7"/>
  <c r="G46" i="7"/>
  <c r="F46" i="7"/>
  <c r="E46" i="7" s="1"/>
  <c r="H45" i="7"/>
  <c r="G45" i="7"/>
  <c r="F45" i="7"/>
  <c r="H44" i="7"/>
  <c r="G44" i="7"/>
  <c r="F44" i="7"/>
  <c r="E44" i="7"/>
  <c r="H43" i="7"/>
  <c r="G43" i="7"/>
  <c r="E43" i="7" s="1"/>
  <c r="F43" i="7"/>
  <c r="H41" i="7"/>
  <c r="G41" i="7"/>
  <c r="F41" i="7"/>
  <c r="H40" i="7"/>
  <c r="G40" i="7"/>
  <c r="F40" i="7"/>
  <c r="E40" i="7"/>
  <c r="H39" i="7"/>
  <c r="G39" i="7"/>
  <c r="F39" i="7"/>
  <c r="E39" i="7" s="1"/>
  <c r="H38" i="7"/>
  <c r="G38" i="7"/>
  <c r="F38" i="7"/>
  <c r="H37" i="7"/>
  <c r="G37" i="7"/>
  <c r="F37" i="7"/>
  <c r="E37" i="7"/>
  <c r="H35" i="7"/>
  <c r="G35" i="7"/>
  <c r="F35" i="7"/>
  <c r="E35" i="7"/>
  <c r="H34" i="7"/>
  <c r="G34" i="7"/>
  <c r="F34" i="7"/>
  <c r="H33" i="7"/>
  <c r="G33" i="7"/>
  <c r="F33" i="7"/>
  <c r="E33" i="7"/>
  <c r="H32" i="7"/>
  <c r="G32" i="7"/>
  <c r="F32" i="7"/>
  <c r="E32" i="7"/>
  <c r="H31" i="7"/>
  <c r="G31" i="7"/>
  <c r="F31" i="7"/>
  <c r="H29" i="7"/>
  <c r="G29" i="7"/>
  <c r="F29" i="7"/>
  <c r="E29" i="7" s="1"/>
  <c r="H28" i="7"/>
  <c r="G28" i="7"/>
  <c r="F28" i="7"/>
  <c r="E28" i="7"/>
  <c r="H27" i="7"/>
  <c r="G27" i="7"/>
  <c r="F27" i="7"/>
  <c r="E27" i="7" s="1"/>
  <c r="H26" i="7"/>
  <c r="G26" i="7"/>
  <c r="F26" i="7"/>
  <c r="E26" i="7"/>
  <c r="H25" i="7"/>
  <c r="G25" i="7"/>
  <c r="F25" i="7"/>
  <c r="E25" i="7"/>
  <c r="H20" i="7"/>
  <c r="G20" i="7"/>
  <c r="H19" i="7"/>
  <c r="G19" i="7"/>
  <c r="F19" i="7"/>
  <c r="E19" i="7" s="1"/>
  <c r="H18" i="7"/>
  <c r="G18" i="7"/>
  <c r="F18" i="7"/>
  <c r="E18" i="7"/>
  <c r="H17" i="7"/>
  <c r="G17" i="7"/>
  <c r="F17" i="7"/>
  <c r="E17" i="7" s="1"/>
  <c r="H16" i="7"/>
  <c r="G16" i="7"/>
  <c r="F16" i="7"/>
  <c r="E16" i="7" s="1"/>
  <c r="H15" i="7"/>
  <c r="G15" i="7"/>
  <c r="E15" i="7" s="1"/>
  <c r="F15" i="7"/>
  <c r="H14" i="7"/>
  <c r="G14" i="7"/>
  <c r="F14" i="7"/>
  <c r="E14" i="7" s="1"/>
  <c r="H13" i="7"/>
  <c r="G13" i="7"/>
  <c r="F13" i="7"/>
  <c r="E13" i="7"/>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H12" i="5"/>
  <c r="G12" i="5"/>
  <c r="F12" i="5"/>
  <c r="E12" i="5" s="1"/>
  <c r="H11" i="5"/>
  <c r="G11" i="5"/>
  <c r="F11" i="5"/>
  <c r="H10" i="5"/>
  <c r="G10" i="5"/>
  <c r="F10" i="5"/>
  <c r="H15" i="4"/>
  <c r="G15" i="4"/>
  <c r="F15" i="4"/>
  <c r="H14" i="4"/>
  <c r="G14" i="4"/>
  <c r="F14" i="4"/>
  <c r="H13" i="4"/>
  <c r="G13" i="4"/>
  <c r="F13" i="4"/>
  <c r="H12" i="4"/>
  <c r="G12" i="4"/>
  <c r="F12" i="4"/>
  <c r="I16" i="3"/>
  <c r="H16" i="3"/>
  <c r="G16" i="3"/>
  <c r="F16" i="3" s="1"/>
  <c r="I11" i="3"/>
  <c r="H11" i="3"/>
  <c r="G11" i="3"/>
  <c r="F11" i="3"/>
  <c r="I10" i="3"/>
  <c r="H10" i="3"/>
  <c r="G10" i="3"/>
  <c r="H66" i="2"/>
  <c r="G66" i="2"/>
  <c r="F66" i="2"/>
  <c r="H65" i="2"/>
  <c r="G65" i="2"/>
  <c r="F65" i="2"/>
  <c r="E65" i="2"/>
  <c r="H64" i="2"/>
  <c r="G64" i="2"/>
  <c r="E64" i="2" s="1"/>
  <c r="F64" i="2"/>
  <c r="H63" i="2"/>
  <c r="G63" i="2"/>
  <c r="F63" i="2"/>
  <c r="H62" i="2"/>
  <c r="G62" i="2"/>
  <c r="F62" i="2"/>
  <c r="H61" i="2"/>
  <c r="G61" i="2"/>
  <c r="E61" i="2" s="1"/>
  <c r="F61" i="2"/>
  <c r="H55" i="2"/>
  <c r="G55" i="2"/>
  <c r="F55" i="2"/>
  <c r="E55" i="2" s="1"/>
  <c r="H54" i="2"/>
  <c r="G54" i="2"/>
  <c r="F54" i="2"/>
  <c r="H53" i="2"/>
  <c r="G53" i="2"/>
  <c r="E53" i="2" s="1"/>
  <c r="F53" i="2"/>
  <c r="H52" i="2"/>
  <c r="G52" i="2"/>
  <c r="F52" i="2"/>
  <c r="E52" i="2"/>
  <c r="H51" i="2"/>
  <c r="G51" i="2"/>
  <c r="F51" i="2"/>
  <c r="H50" i="2"/>
  <c r="G50" i="2"/>
  <c r="F50" i="2"/>
  <c r="H49" i="2"/>
  <c r="E49" i="2" s="1"/>
  <c r="G49" i="2"/>
  <c r="F49" i="2"/>
  <c r="H48" i="2"/>
  <c r="G48" i="2"/>
  <c r="F48" i="2"/>
  <c r="H47" i="2"/>
  <c r="G47" i="2"/>
  <c r="F47" i="2"/>
  <c r="H46" i="2"/>
  <c r="G46" i="2"/>
  <c r="F46" i="2"/>
  <c r="H40" i="2"/>
  <c r="G40" i="2"/>
  <c r="F40" i="2"/>
  <c r="H39" i="2"/>
  <c r="G39" i="2"/>
  <c r="F39" i="2"/>
  <c r="H38" i="2"/>
  <c r="G38" i="2"/>
  <c r="F38" i="2"/>
  <c r="H37" i="2"/>
  <c r="G37" i="2"/>
  <c r="F37" i="2"/>
  <c r="H36" i="2"/>
  <c r="G36" i="2"/>
  <c r="F36" i="2"/>
  <c r="H35" i="2"/>
  <c r="G35" i="2"/>
  <c r="F35" i="2"/>
  <c r="H34" i="2"/>
  <c r="G34" i="2"/>
  <c r="F34" i="2"/>
  <c r="H33" i="2"/>
  <c r="G33" i="2"/>
  <c r="F33" i="2"/>
  <c r="H32" i="2"/>
  <c r="G32" i="2"/>
  <c r="F32" i="2"/>
  <c r="H31" i="2"/>
  <c r="G31" i="2"/>
  <c r="F31" i="2"/>
  <c r="H29" i="2"/>
  <c r="G29" i="2"/>
  <c r="F29" i="2"/>
  <c r="H28" i="2"/>
  <c r="G28" i="2"/>
  <c r="F28" i="2"/>
  <c r="H27" i="2"/>
  <c r="G27" i="2"/>
  <c r="F27" i="2"/>
  <c r="H26" i="2"/>
  <c r="G26" i="2"/>
  <c r="F26" i="2"/>
  <c r="H25" i="2"/>
  <c r="G25" i="2"/>
  <c r="F25" i="2"/>
  <c r="H24" i="2"/>
  <c r="G24" i="2"/>
  <c r="F24" i="2"/>
  <c r="E24" i="2" s="1"/>
  <c r="H23" i="2"/>
  <c r="G23" i="2"/>
  <c r="F23" i="2"/>
  <c r="E23" i="2" s="1"/>
  <c r="H22" i="2"/>
  <c r="G22" i="2"/>
  <c r="F22" i="2"/>
  <c r="H21" i="2"/>
  <c r="G21" i="2"/>
  <c r="F21" i="2"/>
  <c r="E21" i="2" s="1"/>
  <c r="H20" i="2"/>
  <c r="G20" i="2"/>
  <c r="F20" i="2"/>
  <c r="H18" i="2"/>
  <c r="G18" i="2"/>
  <c r="F18" i="2"/>
  <c r="H17" i="2"/>
  <c r="G17" i="2"/>
  <c r="F17" i="2"/>
  <c r="H16" i="2"/>
  <c r="G16" i="2"/>
  <c r="F16" i="2"/>
  <c r="H15" i="2"/>
  <c r="G15" i="2"/>
  <c r="F15" i="2"/>
  <c r="E33" i="2" l="1"/>
  <c r="E10" i="5"/>
  <c r="F60" i="10"/>
  <c r="G60" i="10"/>
  <c r="H60" i="10"/>
  <c r="E25" i="10"/>
  <c r="F25" i="10"/>
  <c r="G25" i="10"/>
  <c r="H25" i="10"/>
  <c r="F47" i="10"/>
  <c r="G47" i="10"/>
  <c r="H47" i="10"/>
  <c r="E51" i="10"/>
  <c r="E60" i="10" s="1"/>
  <c r="F10" i="3"/>
  <c r="F12" i="3" s="1"/>
  <c r="H12" i="3"/>
  <c r="I12" i="3"/>
  <c r="G12" i="3"/>
  <c r="E14" i="4"/>
  <c r="E46" i="2"/>
  <c r="E13" i="4"/>
  <c r="G67" i="2"/>
  <c r="G10" i="2" s="1"/>
  <c r="E34" i="2"/>
  <c r="E47" i="2"/>
  <c r="E37" i="2"/>
  <c r="E16" i="2"/>
  <c r="E17" i="2"/>
  <c r="E39" i="2"/>
  <c r="H67" i="2"/>
  <c r="H10" i="2" s="1"/>
  <c r="E27" i="2"/>
  <c r="E36" i="2"/>
  <c r="E40" i="2"/>
  <c r="H41" i="2"/>
  <c r="E31" i="2"/>
  <c r="E50" i="2"/>
  <c r="E63" i="2"/>
  <c r="E66" i="2"/>
  <c r="E28" i="2"/>
  <c r="E51" i="2"/>
  <c r="E25" i="2"/>
  <c r="E22" i="2"/>
  <c r="E29" i="2"/>
  <c r="F67" i="2"/>
  <c r="F10" i="2" s="1"/>
  <c r="E26" i="2"/>
  <c r="E18" i="2"/>
  <c r="E38" i="2"/>
  <c r="E35" i="2"/>
  <c r="E20" i="2"/>
  <c r="E32" i="2"/>
  <c r="E62" i="2"/>
  <c r="E67" i="2" s="1"/>
  <c r="E10" i="2" s="1"/>
  <c r="G16" i="4"/>
  <c r="F6" i="1" s="1"/>
  <c r="F20" i="1" s="1"/>
  <c r="H16" i="4"/>
  <c r="G6" i="1" s="1"/>
  <c r="G20" i="1" s="1"/>
  <c r="E15" i="4"/>
  <c r="E12" i="4"/>
  <c r="E228" i="8"/>
  <c r="E272" i="8"/>
  <c r="E13" i="5"/>
  <c r="G41" i="2"/>
  <c r="F51" i="7"/>
  <c r="F9" i="8"/>
  <c r="H9" i="8"/>
  <c r="E288" i="8"/>
  <c r="E20" i="7"/>
  <c r="F20" i="7"/>
  <c r="E222" i="7"/>
  <c r="F226" i="7"/>
  <c r="G226" i="7"/>
  <c r="E234" i="7"/>
  <c r="H321" i="8"/>
  <c r="F56" i="2"/>
  <c r="E262" i="7"/>
  <c r="G56" i="2"/>
  <c r="F114" i="7"/>
  <c r="F262" i="7"/>
  <c r="E41" i="10"/>
  <c r="H56" i="2"/>
  <c r="G262" i="7"/>
  <c r="E21" i="9"/>
  <c r="F41" i="10"/>
  <c r="F16" i="4"/>
  <c r="E6" i="1" s="1"/>
  <c r="E20" i="1" s="1"/>
  <c r="H262" i="7"/>
  <c r="G41" i="10"/>
  <c r="E248" i="7"/>
  <c r="G102" i="8"/>
  <c r="E168" i="8"/>
  <c r="H41" i="10"/>
  <c r="H9" i="10" s="1"/>
  <c r="F41" i="2"/>
  <c r="F13" i="5"/>
  <c r="E50" i="7"/>
  <c r="E66" i="7"/>
  <c r="E152" i="7"/>
  <c r="E187" i="7"/>
  <c r="E201" i="7"/>
  <c r="E269" i="7"/>
  <c r="H102" i="8"/>
  <c r="E304" i="8"/>
  <c r="E46" i="10"/>
  <c r="E47" i="10" s="1"/>
  <c r="E15" i="2"/>
  <c r="E54" i="2"/>
  <c r="E34" i="7"/>
  <c r="E63" i="7"/>
  <c r="E135" i="7"/>
  <c r="E27" i="8"/>
  <c r="E44" i="8" s="1"/>
  <c r="E69" i="8"/>
  <c r="H228" i="8"/>
  <c r="E247" i="8"/>
  <c r="E262" i="8"/>
  <c r="E277" i="8"/>
  <c r="E280" i="8" s="1"/>
  <c r="E301" i="8"/>
  <c r="H114" i="7"/>
  <c r="F121" i="6"/>
  <c r="E31" i="7"/>
  <c r="E51" i="7" s="1"/>
  <c r="E120" i="7"/>
  <c r="E177" i="7" s="1"/>
  <c r="F177" i="7"/>
  <c r="E149" i="7"/>
  <c r="E198" i="7"/>
  <c r="F271" i="7"/>
  <c r="E298" i="8"/>
  <c r="F9" i="9"/>
  <c r="E48" i="2"/>
  <c r="G13" i="5"/>
  <c r="E59" i="7"/>
  <c r="E114" i="7" s="1"/>
  <c r="G177" i="7"/>
  <c r="E184" i="7"/>
  <c r="E205" i="7" s="1"/>
  <c r="E195" i="7"/>
  <c r="F205" i="7"/>
  <c r="E225" i="7"/>
  <c r="G16" i="8"/>
  <c r="E62" i="8"/>
  <c r="E102" i="8" s="1"/>
  <c r="E173" i="8"/>
  <c r="E198" i="8" s="1"/>
  <c r="E240" i="8"/>
  <c r="E295" i="8"/>
  <c r="E321" i="8" s="1"/>
  <c r="G21" i="9"/>
  <c r="G9" i="9" s="1"/>
  <c r="E11" i="5"/>
  <c r="G51" i="7"/>
  <c r="E49" i="7"/>
  <c r="E88" i="7"/>
  <c r="E134" i="7"/>
  <c r="E268" i="7"/>
  <c r="E271" i="7" s="1"/>
  <c r="F168" i="8"/>
  <c r="G258" i="8"/>
  <c r="H51" i="7"/>
  <c r="E45" i="7"/>
  <c r="E84" i="7"/>
  <c r="E131" i="7"/>
  <c r="E174" i="7"/>
  <c r="G218" i="7"/>
  <c r="E216" i="7"/>
  <c r="G168" i="8"/>
  <c r="H258" i="8"/>
  <c r="F288" i="8"/>
  <c r="H13" i="5"/>
  <c r="E41" i="7"/>
  <c r="E81" i="7"/>
  <c r="E127" i="7"/>
  <c r="E170" i="7"/>
  <c r="H218" i="7"/>
  <c r="E213" i="7"/>
  <c r="E259" i="7"/>
  <c r="E331" i="7"/>
  <c r="H168" i="8"/>
  <c r="F228" i="8"/>
  <c r="G288" i="8"/>
  <c r="F321" i="8"/>
  <c r="E38" i="7"/>
  <c r="E77" i="7"/>
  <c r="E123" i="7"/>
  <c r="E167" i="7"/>
  <c r="E210" i="7"/>
  <c r="E218" i="7" s="1"/>
  <c r="E255" i="7"/>
  <c r="G228" i="8"/>
  <c r="H288" i="8"/>
  <c r="G321" i="8"/>
  <c r="G9" i="7" l="1"/>
  <c r="F12" i="1" s="1"/>
  <c r="F21" i="1" s="1"/>
  <c r="G9" i="10"/>
  <c r="F9" i="10"/>
  <c r="E16" i="4"/>
  <c r="D6" i="1" s="1"/>
  <c r="D20" i="1" s="1"/>
  <c r="E56" i="2"/>
  <c r="H9" i="2"/>
  <c r="G4" i="1" s="1"/>
  <c r="G19" i="1" s="1"/>
  <c r="E41" i="2"/>
  <c r="F9" i="7"/>
  <c r="E12" i="1" s="1"/>
  <c r="F9" i="2"/>
  <c r="E4" i="1" s="1"/>
  <c r="E19" i="1" s="1"/>
  <c r="G9" i="2"/>
  <c r="F4" i="1" s="1"/>
  <c r="F19" i="1" s="1"/>
  <c r="E9" i="9"/>
  <c r="H9" i="7"/>
  <c r="G12" i="1" s="1"/>
  <c r="G21" i="1" s="1"/>
  <c r="G9" i="8"/>
  <c r="E9" i="8"/>
  <c r="E226" i="7"/>
  <c r="E9" i="7" s="1"/>
  <c r="D12" i="1" s="1"/>
  <c r="G18" i="1" l="1"/>
  <c r="F18" i="1"/>
  <c r="E9" i="10"/>
  <c r="E9" i="2"/>
  <c r="D4" i="1" s="1"/>
  <c r="D19" i="1" s="1"/>
  <c r="E21" i="1" l="1"/>
  <c r="E18" i="1"/>
  <c r="D21" i="1"/>
  <c r="D18" i="1"/>
</calcChain>
</file>

<file path=xl/sharedStrings.xml><?xml version="1.0" encoding="utf-8"?>
<sst xmlns="http://schemas.openxmlformats.org/spreadsheetml/2006/main" count="2462" uniqueCount="637">
  <si>
    <t>Emission Source</t>
  </si>
  <si>
    <t>Fuel</t>
  </si>
  <si>
    <t>Refrigerant and other gases</t>
  </si>
  <si>
    <t>Scope 1</t>
  </si>
  <si>
    <t>Scope 2</t>
  </si>
  <si>
    <t>Scope 3</t>
  </si>
  <si>
    <t>Passenger transport</t>
  </si>
  <si>
    <t>Ministry for the Environment Measuring Emissions Guidance 2023</t>
  </si>
  <si>
    <t>Emissions Factor Workbook Using Data and Methods from the 2021 Calendar Year</t>
  </si>
  <si>
    <t>Fuel emission factors</t>
  </si>
  <si>
    <t>Additional Information</t>
  </si>
  <si>
    <r>
      <t>All emissions are expressed as kg of carbon dioxide equivalent (kg CO</t>
    </r>
    <r>
      <rPr>
        <vertAlign val="subscript"/>
        <sz val="11"/>
        <color rgb="FF000000"/>
        <rFont val="Calibri"/>
        <family val="2"/>
      </rPr>
      <t>2</t>
    </r>
    <r>
      <rPr>
        <sz val="11"/>
        <color rgb="FF000000"/>
        <rFont val="Calibri"/>
        <family val="2"/>
      </rPr>
      <t xml:space="preserve">-e) per unit.
Residential use emission factors are for fuel used primarily at residential properties.
Commercial use is for fuels used at properties or sites where commercial activities take place.
Industrial use emission factors can be applied where combustion takes place at sites where industrial processes or within engines that support industrial activities.
The emission factors for biofuels are the unchanged whether they are combusted in a stationary or transport engine.
</t>
    </r>
  </si>
  <si>
    <t>kg CO₂-e</t>
  </si>
  <si>
    <t>CO₂ (kg CO₂-e)</t>
  </si>
  <si>
    <t>CH₄ (kg CO₂-e)</t>
  </si>
  <si>
    <t>N₂O (kg CO₂-e)</t>
  </si>
  <si>
    <t>Total Calculated Emissions for stationary combustion and transport fuel</t>
  </si>
  <si>
    <t>Total Calculated Emissions for Biofuel</t>
  </si>
  <si>
    <t>Emission source</t>
  </si>
  <si>
    <t>Unit</t>
  </si>
  <si>
    <t>Your Input</t>
  </si>
  <si>
    <t>Uncertainty</t>
  </si>
  <si>
    <t>Stationary combustion fuel emission factors</t>
  </si>
  <si>
    <t>Residential use</t>
  </si>
  <si>
    <t>Coal - Default</t>
  </si>
  <si>
    <t>kg</t>
  </si>
  <si>
    <t>Coal - Bituminous</t>
  </si>
  <si>
    <t>Coal - Sub-Bituminous</t>
  </si>
  <si>
    <t>Coal - Lignite</t>
  </si>
  <si>
    <t>Commercial use</t>
  </si>
  <si>
    <t>Diesel</t>
  </si>
  <si>
    <t>litre</t>
  </si>
  <si>
    <t>LPG</t>
  </si>
  <si>
    <t>Heavy Fuel Oil</t>
  </si>
  <si>
    <t>Light Fuel Oil</t>
  </si>
  <si>
    <t>Natural Gas</t>
  </si>
  <si>
    <t>kWh</t>
  </si>
  <si>
    <t>GJ</t>
  </si>
  <si>
    <t>Industrial Use</t>
  </si>
  <si>
    <t>Total</t>
  </si>
  <si>
    <t>Transport fuel emission factors</t>
  </si>
  <si>
    <t>Transport fuels</t>
  </si>
  <si>
    <t>Regular Petrol</t>
  </si>
  <si>
    <t>Premium Petrol</t>
  </si>
  <si>
    <t>Aviation fuel (Kerosene)</t>
  </si>
  <si>
    <t>Aviation gas</t>
  </si>
  <si>
    <t>Biofuel and biomass emission factors</t>
  </si>
  <si>
    <t>Biogenic CO₂</t>
  </si>
  <si>
    <t>Biofuel</t>
  </si>
  <si>
    <t>Bioethanol</t>
  </si>
  <si>
    <t>Biodiesel</t>
  </si>
  <si>
    <t>Wood - Residential</t>
  </si>
  <si>
    <t>Wood - Industrial</t>
  </si>
  <si>
    <t>Emissions Factor Workbook Using Data and Methods from calendars years between 2010 and 2022</t>
  </si>
  <si>
    <t>Transmission &amp; distribution losses emission factors</t>
  </si>
  <si>
    <r>
      <t>All emissions are expressed as kg of carbon dioxide equivalent (kg CO</t>
    </r>
    <r>
      <rPr>
        <vertAlign val="subscript"/>
        <sz val="11"/>
        <color rgb="FF000000"/>
        <rFont val="Calibri"/>
        <family val="2"/>
      </rPr>
      <t>2</t>
    </r>
    <r>
      <rPr>
        <sz val="11"/>
        <color rgb="FF000000"/>
        <rFont val="Calibri"/>
        <family val="2"/>
      </rPr>
      <t xml:space="preserve">-e) per unit.
</t>
    </r>
  </si>
  <si>
    <t>Transmission and distribution losses</t>
  </si>
  <si>
    <t>Natural gas used</t>
  </si>
  <si>
    <t>Unknown</t>
  </si>
  <si>
    <t>Electricity used</t>
  </si>
  <si>
    <t>Purchased energy emission factors</t>
  </si>
  <si>
    <t>Purchased energy emission factors - annual average</t>
  </si>
  <si>
    <t>Purchased energy emission factors - calendar quarters</t>
  </si>
  <si>
    <t>Quarter</t>
  </si>
  <si>
    <t>Working from home emission factors</t>
  </si>
  <si>
    <r>
      <rPr>
        <sz val="11"/>
        <color rgb="FF000000"/>
        <rFont val="Calibri"/>
        <family val="2"/>
      </rPr>
      <t>The default factor can be used throughout the year and is based on the assumption that heating is run for five months of the year.
It can be used when it is unknown if heating is used or not. The Without heating factor only covers emissions associated with the laptop, monitor and lighting. 
The With heating factor assumes heating is used for six hours of the employee day.
All emissions are expressed as kg of carbon dioxide equivalent (kg CO</t>
    </r>
    <r>
      <rPr>
        <vertAlign val="subscript"/>
        <sz val="11"/>
        <color rgb="FF000000"/>
        <rFont val="Calibri"/>
        <family val="2"/>
      </rPr>
      <t>2</t>
    </r>
    <r>
      <rPr>
        <sz val="11"/>
        <color rgb="FF000000"/>
        <rFont val="Calibri"/>
        <family val="2"/>
      </rPr>
      <t xml:space="preserve">-e) per unit.
</t>
    </r>
  </si>
  <si>
    <t>Assumptions</t>
  </si>
  <si>
    <t>Default</t>
  </si>
  <si>
    <t>Employee days</t>
  </si>
  <si>
    <t>See notes above or refer to Detailed guide.</t>
  </si>
  <si>
    <t>Without heating</t>
  </si>
  <si>
    <t>With heating</t>
  </si>
  <si>
    <t>Emissions Factor Workbook Using Data and Methods from the IPCC AR5 GWP100</t>
  </si>
  <si>
    <t>Refrigerants and other gases emission factors</t>
  </si>
  <si>
    <t>Refrigerants and other gases</t>
  </si>
  <si>
    <t>Industrial Designation or Common Name</t>
  </si>
  <si>
    <t>Carbon dioxide (R - 744)</t>
  </si>
  <si>
    <t>CO₂</t>
  </si>
  <si>
    <t>Methane</t>
  </si>
  <si>
    <t>CH₄</t>
  </si>
  <si>
    <t>Propane (R-290)</t>
  </si>
  <si>
    <t>C₃H₈</t>
  </si>
  <si>
    <t>Nitrous oxide (R-744a)</t>
  </si>
  <si>
    <t>N₂O</t>
  </si>
  <si>
    <t>Butane</t>
  </si>
  <si>
    <t>C₄H₁₀</t>
  </si>
  <si>
    <t>Substances controlled by the Montreal Protocol</t>
  </si>
  <si>
    <t>CFC-11  (R-11)</t>
  </si>
  <si>
    <t>CCl₃F</t>
  </si>
  <si>
    <t>CFC-12  (R-12)</t>
  </si>
  <si>
    <t>CCl₂F₂</t>
  </si>
  <si>
    <t>CFC-13  (R-13)</t>
  </si>
  <si>
    <t>CClF₃</t>
  </si>
  <si>
    <t>CFC-113  (R-113)</t>
  </si>
  <si>
    <t>CCl₂FCClF₂</t>
  </si>
  <si>
    <t>CFC-114  (R-114)</t>
  </si>
  <si>
    <t>CClF₂CClF₂</t>
  </si>
  <si>
    <t>CFC-115  (R-115)</t>
  </si>
  <si>
    <t>CClF₂CF₃</t>
  </si>
  <si>
    <t>Halon-1301  (R-1301)</t>
  </si>
  <si>
    <t>CBrF₃</t>
  </si>
  <si>
    <t>Halon-1211  (R-1211)</t>
  </si>
  <si>
    <t>CBrClF₂</t>
  </si>
  <si>
    <t>Halon-2402  (R-2402)</t>
  </si>
  <si>
    <t>CBrF₂CBrF₂</t>
  </si>
  <si>
    <t>Carbon tetrachloride  (R-10)</t>
  </si>
  <si>
    <t>CCl₄</t>
  </si>
  <si>
    <t>Methyl bromide</t>
  </si>
  <si>
    <t>CH₃Br</t>
  </si>
  <si>
    <t>Methyl chloroform</t>
  </si>
  <si>
    <t>CH₃CCl₃</t>
  </si>
  <si>
    <t>HCFC-21</t>
  </si>
  <si>
    <t>CHCl₂F</t>
  </si>
  <si>
    <t>HCFC-22  (R-22)</t>
  </si>
  <si>
    <t>CHClF₂</t>
  </si>
  <si>
    <t>HCFC-123  (R-123)</t>
  </si>
  <si>
    <t>CHCl₂CF₃</t>
  </si>
  <si>
    <t>HCFC-124  (R-124)</t>
  </si>
  <si>
    <t>CHClFCF₃</t>
  </si>
  <si>
    <t>HCFC-141b  (R-141b)</t>
  </si>
  <si>
    <t>CH₃CCl₂F</t>
  </si>
  <si>
    <t>HCFC-142b  (R-142b)</t>
  </si>
  <si>
    <t>CH₃CClF₂</t>
  </si>
  <si>
    <t>HCFC-225ca  (R-225ca)</t>
  </si>
  <si>
    <t>CHCl₂CF₂CF₃</t>
  </si>
  <si>
    <t>HCFC-225cb  (R- 225cb)</t>
  </si>
  <si>
    <t>CHClFCF₂CClF₂</t>
  </si>
  <si>
    <t>Hydrofluorocarbons</t>
  </si>
  <si>
    <t>HFC-23  (R-23)</t>
  </si>
  <si>
    <t>CHF₃</t>
  </si>
  <si>
    <t>HFC-32  (R-32)</t>
  </si>
  <si>
    <t>CH₂F₂</t>
  </si>
  <si>
    <t>HFC-41</t>
  </si>
  <si>
    <t>CH₃F</t>
  </si>
  <si>
    <t>HFC-125  (R-125)</t>
  </si>
  <si>
    <t>CHF₂CF₃</t>
  </si>
  <si>
    <t>HFC-134</t>
  </si>
  <si>
    <t>CHF₂CHF₂</t>
  </si>
  <si>
    <t>HFC-134a  (R-134a)</t>
  </si>
  <si>
    <t>CH₂FCF₃</t>
  </si>
  <si>
    <t>HFC-143</t>
  </si>
  <si>
    <t>CH₂FCHF₂</t>
  </si>
  <si>
    <t>HFC-143a  (R-143a)</t>
  </si>
  <si>
    <t>CH₃CF₃</t>
  </si>
  <si>
    <t>HFC-152</t>
  </si>
  <si>
    <t>CH₂FCH₂F</t>
  </si>
  <si>
    <t>HFC-152a  (R-152a)</t>
  </si>
  <si>
    <t>CH₃CHF₂</t>
  </si>
  <si>
    <t>HFC-161</t>
  </si>
  <si>
    <t>CH₃CH₂F</t>
  </si>
  <si>
    <t>HFC-227ea  (R-227ea)</t>
  </si>
  <si>
    <t>CF₃CHFCF₃</t>
  </si>
  <si>
    <t>HFC-236cb</t>
  </si>
  <si>
    <t>CH₂FCF₂CF₃</t>
  </si>
  <si>
    <t>HFC-236ea</t>
  </si>
  <si>
    <t>CHF₂CHFCF₃</t>
  </si>
  <si>
    <t>HFC-236fa  (R-236fa)</t>
  </si>
  <si>
    <t>CF₃CH₂CF₃</t>
  </si>
  <si>
    <t>HFC-245ca</t>
  </si>
  <si>
    <t>CH₂FCF₂CHF₂</t>
  </si>
  <si>
    <t>HFC-245fa  (R - 245fa)</t>
  </si>
  <si>
    <t>CHF₂CH₂CF₃</t>
  </si>
  <si>
    <t>HFC-365mfc  (R- 365mfc)</t>
  </si>
  <si>
    <t>CH₃CF₂CH₂CF₃</t>
  </si>
  <si>
    <t>HFC-43-10mee</t>
  </si>
  <si>
    <t>CF₃CHFCHFCF₂CF₃</t>
  </si>
  <si>
    <t>Perfluorinated compounds</t>
  </si>
  <si>
    <t>Sulphur hexafluoride</t>
  </si>
  <si>
    <t>SF₆</t>
  </si>
  <si>
    <t>Nitrogen trifluoride</t>
  </si>
  <si>
    <t>NF₃</t>
  </si>
  <si>
    <t>PFC-14</t>
  </si>
  <si>
    <t>CF₄</t>
  </si>
  <si>
    <t>PFC-116</t>
  </si>
  <si>
    <t>C₂F₆</t>
  </si>
  <si>
    <t>PFC-218</t>
  </si>
  <si>
    <t>C₃F₈</t>
  </si>
  <si>
    <t>PFC-318</t>
  </si>
  <si>
    <t>c-C₄F₈</t>
  </si>
  <si>
    <t>PFC-31-10</t>
  </si>
  <si>
    <t>C₄F₁₀</t>
  </si>
  <si>
    <t>PFC-41-12</t>
  </si>
  <si>
    <t>C₅F₁₂</t>
  </si>
  <si>
    <t>PFC-51-14</t>
  </si>
  <si>
    <t>C₆F₁₄</t>
  </si>
  <si>
    <t>PFC-91-18</t>
  </si>
  <si>
    <t>C₁₀F₁₈</t>
  </si>
  <si>
    <t>Trifluoromethyl sulphur pentafluoride</t>
  </si>
  <si>
    <t>SF₅CF₃</t>
  </si>
  <si>
    <t>Perfluorocyclopropane</t>
  </si>
  <si>
    <t>c-C₃F₆</t>
  </si>
  <si>
    <t>Fluorinated ethers</t>
  </si>
  <si>
    <t>HFE-125</t>
  </si>
  <si>
    <t>CHF₂OCF₃</t>
  </si>
  <si>
    <t>HFE-134</t>
  </si>
  <si>
    <t>CHF₂OCHF₂</t>
  </si>
  <si>
    <t>HFE-143a</t>
  </si>
  <si>
    <t>CH₃OCF₃</t>
  </si>
  <si>
    <t>HFE-227ea</t>
  </si>
  <si>
    <t>CF₃CHFOCF₃</t>
  </si>
  <si>
    <t>HCFE-235da2 (Isoflurane)</t>
  </si>
  <si>
    <t>CHF₂OCHClCF₃</t>
  </si>
  <si>
    <t>HFE-236ea2</t>
  </si>
  <si>
    <t>CHF₂OCHFCF₃</t>
  </si>
  <si>
    <t>HFE-236fa</t>
  </si>
  <si>
    <t>CF₃CH₂OCF₃</t>
  </si>
  <si>
    <t>HFE-245cb2</t>
  </si>
  <si>
    <t>CH₃OCF₂CF₃</t>
  </si>
  <si>
    <t>HFE-245fa1</t>
  </si>
  <si>
    <t>CHF₂CH₂OCF₃</t>
  </si>
  <si>
    <t>HFE-245fa2</t>
  </si>
  <si>
    <t>CHF₂OCH₂CF₃</t>
  </si>
  <si>
    <t>HFE-254cb1</t>
  </si>
  <si>
    <t>CH₃OCF₂CHF₂</t>
  </si>
  <si>
    <t>HFE-263fb2</t>
  </si>
  <si>
    <t>CF₃CH₂OCH₃</t>
  </si>
  <si>
    <t>HFE-329mcc2</t>
  </si>
  <si>
    <t>CHF₂CF₂OCF₂CF₃</t>
  </si>
  <si>
    <t>HFE-338mcf2</t>
  </si>
  <si>
    <t>CF₃CH₂OCF₂CF₃</t>
  </si>
  <si>
    <t>HFE-347mcc3</t>
  </si>
  <si>
    <t>CH₃OCF₂CF₂CF₃</t>
  </si>
  <si>
    <t>HFE-347mcf2</t>
  </si>
  <si>
    <t>CHF₂CH₂OCF₂CF₃</t>
  </si>
  <si>
    <t>HFE-347pcf2</t>
  </si>
  <si>
    <t>CHF₂CF₂OCH₂CF₃</t>
  </si>
  <si>
    <t>HFE-356mec3</t>
  </si>
  <si>
    <t>CH₃OCF₂CHFCF₃</t>
  </si>
  <si>
    <t>HFE-356pcc3</t>
  </si>
  <si>
    <t>CH₃OCF₂CF₂CHF₂</t>
  </si>
  <si>
    <t>HFE-356pcf2</t>
  </si>
  <si>
    <t>CHF₂CH₂OCF₂CHF₂</t>
  </si>
  <si>
    <t>HFE-356pcf3</t>
  </si>
  <si>
    <t>CHF₂OCH₂CF₂CHF₂</t>
  </si>
  <si>
    <t>HFE-365mcf3</t>
  </si>
  <si>
    <t>CF₃CF₂CH₂OCH₃</t>
  </si>
  <si>
    <t>HFE-374pc2</t>
  </si>
  <si>
    <t>CHF₂CF₂OCH₂CH₃</t>
  </si>
  <si>
    <t>HFE-449sl (HFE-7100)</t>
  </si>
  <si>
    <t>C₄F₉OCH₃</t>
  </si>
  <si>
    <t>HFE-569sf2 (HFE-7200)</t>
  </si>
  <si>
    <t>C₄F₉OC₂H₅</t>
  </si>
  <si>
    <t>HFE-43-10pccc124 (H-Galden 1040x)</t>
  </si>
  <si>
    <t>CHF₂OCF₂OC₂F₄OCHF₂</t>
  </si>
  <si>
    <t>HFE-236ca12 (HG-10)</t>
  </si>
  <si>
    <t>CHF₂OCF₂OCHF₂</t>
  </si>
  <si>
    <t>HFE-338pcc13 (HG-01)</t>
  </si>
  <si>
    <t>CHF₂OCF₂CF₂OCHF₂</t>
  </si>
  <si>
    <t>Perfluoropolyethers</t>
  </si>
  <si>
    <t>PFPMIE</t>
  </si>
  <si>
    <t>CF₃OCF(CF₃)CF₂OCF₂OCF₃</t>
  </si>
  <si>
    <t>Hydrocarbons and other compounds – Direct Effects</t>
  </si>
  <si>
    <t>Chloroform</t>
  </si>
  <si>
    <t>CHCl₃</t>
  </si>
  <si>
    <t>Methylene chloride</t>
  </si>
  <si>
    <t>CH₂Cl₂</t>
  </si>
  <si>
    <t>Halon-1201</t>
  </si>
  <si>
    <t>CHBrF₂</t>
  </si>
  <si>
    <t>Methyl chloride</t>
  </si>
  <si>
    <t>CH₃Cl</t>
  </si>
  <si>
    <t>Refrigerant blends: Zeotropes</t>
  </si>
  <si>
    <t>ASHRAE Refrigerant designation</t>
  </si>
  <si>
    <t>Mix (mass %)</t>
  </si>
  <si>
    <t>403B</t>
  </si>
  <si>
    <t>R-290/22/218 (5.0/56.0/39.0)</t>
  </si>
  <si>
    <t>404A</t>
  </si>
  <si>
    <t>R-125/143a/134a (44.0/52.0/4.0)</t>
  </si>
  <si>
    <t>406A</t>
  </si>
  <si>
    <t>R-22/600a/142b (55.0/4.0/41.0)</t>
  </si>
  <si>
    <t>407C</t>
  </si>
  <si>
    <t>R-32/125/134a (23.0/25.0/52.0)</t>
  </si>
  <si>
    <t>407F</t>
  </si>
  <si>
    <t>R-32/125/134a (30.0/30.0/40.0)</t>
  </si>
  <si>
    <t>408A</t>
  </si>
  <si>
    <t>R-125/143a/22 (7.0/46.0/47.0)</t>
  </si>
  <si>
    <t>409A</t>
  </si>
  <si>
    <t>R-22/124/142b (60.0/25.0/15.0)</t>
  </si>
  <si>
    <t>409B</t>
  </si>
  <si>
    <t>R-22/124/142b (65.0/25.0/10.0)</t>
  </si>
  <si>
    <t>410A</t>
  </si>
  <si>
    <t>R-32/125 (50.0/50.0)</t>
  </si>
  <si>
    <t>413A</t>
  </si>
  <si>
    <t>R-218/134a/600a (9.0/88.0/3.0)</t>
  </si>
  <si>
    <t>416A</t>
  </si>
  <si>
    <t>R-134a/124/600 (59.0/39.5/1.5)</t>
  </si>
  <si>
    <t>417A</t>
  </si>
  <si>
    <t>R-125/134a/600 (46.6/50.0/3.4)</t>
  </si>
  <si>
    <t>422A</t>
  </si>
  <si>
    <t>R-125/134a/600a (85.1/11.5/3.4)</t>
  </si>
  <si>
    <t>436A</t>
  </si>
  <si>
    <t>R-290/600a (56.0/44.0)</t>
  </si>
  <si>
    <t>436B</t>
  </si>
  <si>
    <t>R-290/600a (52.0/48.0)</t>
  </si>
  <si>
    <t>502</t>
  </si>
  <si>
    <t>R-22/115 (48.8/51.2)</t>
  </si>
  <si>
    <t>Refrigerant blends: Azeotropes</t>
  </si>
  <si>
    <t>507A</t>
  </si>
  <si>
    <t>R-125/143a (50.0/50.0)</t>
  </si>
  <si>
    <t>Medical gases</t>
  </si>
  <si>
    <t>HFE-347mmz1 (Sevoflurane)</t>
  </si>
  <si>
    <t>(CF₃)₂CHOCH₂F</t>
  </si>
  <si>
    <t>HFE-236ea2 (Desflurane)</t>
  </si>
  <si>
    <t>Medical gas blends - Mix (mass %) - Unit</t>
  </si>
  <si>
    <t>Entonox</t>
  </si>
  <si>
    <t>N2O/O2 (57.9/42.1) (50.0/50.0 vol.)</t>
  </si>
  <si>
    <t>Emissions Factor Workbook Using Data and Methods from the most recent available year</t>
  </si>
  <si>
    <t>Passenger transport emission factors</t>
  </si>
  <si>
    <t>Total Calculated Emissions for Passenger transport</t>
  </si>
  <si>
    <t>Public transport passenger travel emission factors</t>
  </si>
  <si>
    <t>Assumption</t>
  </si>
  <si>
    <t>Bus</t>
  </si>
  <si>
    <t>National Average for Bus</t>
  </si>
  <si>
    <t>pkm</t>
  </si>
  <si>
    <t>Factors unchanged from previous edition</t>
  </si>
  <si>
    <t>Electric Bus</t>
  </si>
  <si>
    <t>Diesel Bus</t>
  </si>
  <si>
    <t>Average Bus</t>
  </si>
  <si>
    <t>Rail</t>
  </si>
  <si>
    <t>Metropolitan Electric</t>
  </si>
  <si>
    <t>Metropolitan Diesel</t>
  </si>
  <si>
    <t>Metropolitan Average</t>
  </si>
  <si>
    <t>Light Passenger Vehicle emission factors</t>
  </si>
  <si>
    <t>Pre-2010 Fleet</t>
  </si>
  <si>
    <t>Petrol vehicle</t>
  </si>
  <si>
    <t>&lt;1350 cc</t>
  </si>
  <si>
    <t>km</t>
  </si>
  <si>
    <t>1350–&lt;1600 cc</t>
  </si>
  <si>
    <t>1600–&lt;2000 cc</t>
  </si>
  <si>
    <t>2000–3000 cc</t>
  </si>
  <si>
    <t>≥3000 cc</t>
  </si>
  <si>
    <t>Diesel vehicle</t>
  </si>
  <si>
    <t>2000–&lt;3000 cc</t>
  </si>
  <si>
    <t>Petrol hybrid vehicle</t>
  </si>
  <si>
    <t>Diesel Hybrid vehicle</t>
  </si>
  <si>
    <t>Motorcycle</t>
  </si>
  <si>
    <t>&lt;60cc, petrol</t>
  </si>
  <si>
    <t>≥ 60cc, petrol</t>
  </si>
  <si>
    <t>2010-2015 Fleet</t>
  </si>
  <si>
    <t>PHEV (Petrol) - Petrol consumption</t>
  </si>
  <si>
    <t>PHEV (Petrol) - Electricity consumption</t>
  </si>
  <si>
    <t>PHEV (Diesel) - Diesel consumption</t>
  </si>
  <si>
    <t>PHEV (Diesel) - Electricity consumption</t>
  </si>
  <si>
    <t>Electric vehicle</t>
  </si>
  <si>
    <t>&lt;60cc, electricity</t>
  </si>
  <si>
    <t>≥ 60cc, electricity</t>
  </si>
  <si>
    <t>Post-2015 Fleet</t>
  </si>
  <si>
    <t>Default emission factors</t>
  </si>
  <si>
    <t>kg CO₂e</t>
  </si>
  <si>
    <t>CO₂ (kg CO₂e)</t>
  </si>
  <si>
    <t>CH₄ (kg CO₂e)</t>
  </si>
  <si>
    <t>N₂O (kg CO₂e)</t>
  </si>
  <si>
    <t>Private car default</t>
  </si>
  <si>
    <t>Petrol</t>
  </si>
  <si>
    <t>Petrol hybrid</t>
  </si>
  <si>
    <t>Diesel hybrid</t>
  </si>
  <si>
    <t>Electric</t>
  </si>
  <si>
    <t>Rental car default</t>
  </si>
  <si>
    <t>Taxi Travel</t>
  </si>
  <si>
    <t>Regular</t>
  </si>
  <si>
    <t>Regular - dollars spent</t>
  </si>
  <si>
    <t>$</t>
  </si>
  <si>
    <t>Petrol hybrid - dollars spent</t>
  </si>
  <si>
    <t>Electric - dollars spent</t>
  </si>
  <si>
    <t>Public Transport  vehicle emission factors</t>
  </si>
  <si>
    <t>&lt; 7500 kg</t>
  </si>
  <si>
    <t>Pre-2010 model</t>
  </si>
  <si>
    <t>7500 - 12000 kg</t>
  </si>
  <si>
    <t>≥ 12000 kg</t>
  </si>
  <si>
    <t>Diesel-hybrid bus</t>
  </si>
  <si>
    <t>Electric bus</t>
  </si>
  <si>
    <t>DOMESTIC AIR TRAVEL Passenger emission factors</t>
  </si>
  <si>
    <t>With Radiative Forcing factors</t>
  </si>
  <si>
    <t>National average</t>
  </si>
  <si>
    <t>Large aircraft</t>
  </si>
  <si>
    <t>Medium aircraft</t>
  </si>
  <si>
    <t>Small aircraft</t>
  </si>
  <si>
    <t>Without Radiative Forcing factors</t>
  </si>
  <si>
    <t>INTERNATIONAL AIR TRAVEL Passenger emission factors</t>
  </si>
  <si>
    <t>Source</t>
  </si>
  <si>
    <t>Short-haul (&lt;3700km)</t>
  </si>
  <si>
    <t>Average passenger</t>
  </si>
  <si>
    <t>Taken from UK BEIS 2022</t>
  </si>
  <si>
    <t>Economy class</t>
  </si>
  <si>
    <t>Business class</t>
  </si>
  <si>
    <t>Long-haul (&gt;3700km)</t>
  </si>
  <si>
    <t>Premium economy class</t>
  </si>
  <si>
    <t>First class</t>
  </si>
  <si>
    <t>Helicopter emission factors</t>
  </si>
  <si>
    <t>Helicopter</t>
  </si>
  <si>
    <t>Eurocopter AS 350B Squirrel</t>
  </si>
  <si>
    <t>hours</t>
  </si>
  <si>
    <t>Combination of rotations and cruise per flight-hour</t>
  </si>
  <si>
    <t>Eurocopter AS 350B3 Squirrel</t>
  </si>
  <si>
    <t>Robinson R44</t>
  </si>
  <si>
    <t>Robinson R22 Beta</t>
  </si>
  <si>
    <t>Bell 206B</t>
  </si>
  <si>
    <t>Hotel stay emission factor</t>
  </si>
  <si>
    <t>Hotel stay</t>
  </si>
  <si>
    <t>Argentina</t>
  </si>
  <si>
    <t>Room per night</t>
  </si>
  <si>
    <t>See CHSB tool Guidance</t>
  </si>
  <si>
    <t>Australia</t>
  </si>
  <si>
    <t>Austria</t>
  </si>
  <si>
    <t>Belgium</t>
  </si>
  <si>
    <t>Brazil</t>
  </si>
  <si>
    <t>Canada</t>
  </si>
  <si>
    <t>Caribbean Region</t>
  </si>
  <si>
    <t>Chile</t>
  </si>
  <si>
    <t>China</t>
  </si>
  <si>
    <t>Colombia</t>
  </si>
  <si>
    <t>Costa Rica</t>
  </si>
  <si>
    <t>Czech Republic</t>
  </si>
  <si>
    <t>Egypt</t>
  </si>
  <si>
    <t>Fiji</t>
  </si>
  <si>
    <t>Finland</t>
  </si>
  <si>
    <t>France</t>
  </si>
  <si>
    <t>Germany</t>
  </si>
  <si>
    <t>Greece</t>
  </si>
  <si>
    <t>Hong Kong</t>
  </si>
  <si>
    <t>Hungary</t>
  </si>
  <si>
    <t>India</t>
  </si>
  <si>
    <t>Indonesia</t>
  </si>
  <si>
    <t>Ireland</t>
  </si>
  <si>
    <t>Israel</t>
  </si>
  <si>
    <t>Italy</t>
  </si>
  <si>
    <t>Japan</t>
  </si>
  <si>
    <t>Jordan</t>
  </si>
  <si>
    <t>Kazakhstan</t>
  </si>
  <si>
    <t>Macau</t>
  </si>
  <si>
    <t>Malaysia</t>
  </si>
  <si>
    <t>Maldives</t>
  </si>
  <si>
    <t>Mexico</t>
  </si>
  <si>
    <t>Morocco</t>
  </si>
  <si>
    <t>Netherlands</t>
  </si>
  <si>
    <t>New Zealand</t>
  </si>
  <si>
    <t>Oman</t>
  </si>
  <si>
    <t>Panama</t>
  </si>
  <si>
    <t>Peru</t>
  </si>
  <si>
    <t>Philippines</t>
  </si>
  <si>
    <t>Poland</t>
  </si>
  <si>
    <t>Portugal</t>
  </si>
  <si>
    <t>Qatar</t>
  </si>
  <si>
    <t>Romania</t>
  </si>
  <si>
    <t>Russian Federation</t>
  </si>
  <si>
    <t>Saudi Arabia</t>
  </si>
  <si>
    <t>Singapore</t>
  </si>
  <si>
    <t>South Africa</t>
  </si>
  <si>
    <t>South Korea</t>
  </si>
  <si>
    <t>Spain</t>
  </si>
  <si>
    <t>Switzerland</t>
  </si>
  <si>
    <t>Thailand</t>
  </si>
  <si>
    <t>Turkey</t>
  </si>
  <si>
    <t>United Arab Emirates</t>
  </si>
  <si>
    <t>United Kingdom</t>
  </si>
  <si>
    <t>United States</t>
  </si>
  <si>
    <t>Vietnam</t>
  </si>
  <si>
    <t>Freight emission factors</t>
  </si>
  <si>
    <t>Total Calculated Emissions for Freight</t>
  </si>
  <si>
    <t>Road Freighting goods in New Zealand</t>
  </si>
  <si>
    <t>Long-haul heavy truck</t>
  </si>
  <si>
    <t>tkm</t>
  </si>
  <si>
    <t>Assumed majority of long-haul heavy trucks are diesel</t>
  </si>
  <si>
    <t>Urban delivery heavy truck</t>
  </si>
  <si>
    <t>Assumed majority of urban delivery heavy trucks are diesel</t>
  </si>
  <si>
    <t>All trucks</t>
  </si>
  <si>
    <t>Assumed diesel as 79% of goods vans/trucks and utility vehicles are diesel</t>
  </si>
  <si>
    <t>ROAD freight emission factors for Light commercial vehicles</t>
  </si>
  <si>
    <t>Pre 2010 Fleet</t>
  </si>
  <si>
    <t>1350 - &lt;1600 cc</t>
  </si>
  <si>
    <t>1600 -&lt;2000 cc</t>
  </si>
  <si>
    <t>2000 - &lt;3000 cc</t>
  </si>
  <si>
    <t>2010 - 2015 Fleet</t>
  </si>
  <si>
    <t>Post 2015 Fleet</t>
  </si>
  <si>
    <t>Default freight emission factors for Light commercial vehicles</t>
  </si>
  <si>
    <t>Petrol Hybrid</t>
  </si>
  <si>
    <t>Diesel Hybrid</t>
  </si>
  <si>
    <t>ROAD freight emission factors for Heavy goods vehicles</t>
  </si>
  <si>
    <t>HGV diesel</t>
  </si>
  <si>
    <t>&lt; 5,000 kg</t>
  </si>
  <si>
    <t>5,000 - 7,500 kg</t>
  </si>
  <si>
    <t>7,500 - 10,000 kg</t>
  </si>
  <si>
    <t>10,000 - 12,000 kg</t>
  </si>
  <si>
    <t>12,000kg - 15,000 kg</t>
  </si>
  <si>
    <t>15,000 - 20,000 kg</t>
  </si>
  <si>
    <t>20,000 - 25,000 kg</t>
  </si>
  <si>
    <t>25,000 - 30,000 kg</t>
  </si>
  <si>
    <t>≥ 30,000 kg</t>
  </si>
  <si>
    <t>HGV diesel hybrid</t>
  </si>
  <si>
    <t>HGV BEV</t>
  </si>
  <si>
    <t>Default ( pre2010 and &lt;7500kg gross vehicle mass)</t>
  </si>
  <si>
    <t>HGV Diesel</t>
  </si>
  <si>
    <t>HGV Diesel Hybrid</t>
  </si>
  <si>
    <t>AIR TRAVEL Freight emission factors</t>
  </si>
  <si>
    <t>With radiative forcing multiplier</t>
  </si>
  <si>
    <t>Freight flights</t>
  </si>
  <si>
    <t>Domestic</t>
  </si>
  <si>
    <t>Short haul</t>
  </si>
  <si>
    <t>Long haul</t>
  </si>
  <si>
    <t>Without radiative forcing multiplier</t>
  </si>
  <si>
    <t>SEA TRAVEL Freight emission factors</t>
  </si>
  <si>
    <t>Domestic coastal freight</t>
  </si>
  <si>
    <t>Oil products</t>
  </si>
  <si>
    <t>Heavy fuel oil is the shipping fuel used</t>
  </si>
  <si>
    <t>Other bulk</t>
  </si>
  <si>
    <t>Container freight</t>
  </si>
  <si>
    <t>International sea travel - adopted from the UK</t>
  </si>
  <si>
    <t>Bulk carrier</t>
  </si>
  <si>
    <t>200,000+ dwt</t>
  </si>
  <si>
    <t xml:space="preserve">International shipping factors from the UK BEIS 2022 are applicable for New Zealand </t>
  </si>
  <si>
    <t>100,000–199,999 dwt</t>
  </si>
  <si>
    <t>60,000–99,999 dwt</t>
  </si>
  <si>
    <t>35,000–59,999 dwt</t>
  </si>
  <si>
    <t>10,000–34,999 dwt</t>
  </si>
  <si>
    <t>0–9999 dwt</t>
  </si>
  <si>
    <t>Average</t>
  </si>
  <si>
    <t>General cargo</t>
  </si>
  <si>
    <t>10,000+ dwt</t>
  </si>
  <si>
    <t>5000–9999 dwt</t>
  </si>
  <si>
    <t>0–4999 dwt</t>
  </si>
  <si>
    <t>10,000+ dwt 100+ TEU</t>
  </si>
  <si>
    <t>5000–9999 dwt 100+ TEU</t>
  </si>
  <si>
    <t>0–4999 dwt 100+ TEU</t>
  </si>
  <si>
    <t>Container ship</t>
  </si>
  <si>
    <t>8000+ TEU</t>
  </si>
  <si>
    <t>5000–7999 TEU</t>
  </si>
  <si>
    <t>3000–4999 TEU</t>
  </si>
  <si>
    <t>2000–2999 TEU</t>
  </si>
  <si>
    <t>1000–1999 TEU</t>
  </si>
  <si>
    <t>0–999 TEU</t>
  </si>
  <si>
    <t>Vehicle transport</t>
  </si>
  <si>
    <t>4000+ CEU</t>
  </si>
  <si>
    <t>0–3999 CEU</t>
  </si>
  <si>
    <t>RoRo-Ferry</t>
  </si>
  <si>
    <t>2000+ LM</t>
  </si>
  <si>
    <t>0–1999 LM</t>
  </si>
  <si>
    <t>Large RoPax ferry</t>
  </si>
  <si>
    <t>Refrigerated cargo</t>
  </si>
  <si>
    <t>All dwt</t>
  </si>
  <si>
    <t>RAIL  freight emission factors</t>
  </si>
  <si>
    <t>Rail Freight</t>
  </si>
  <si>
    <t>Water supply &amp; Wastewater treatment emission factors</t>
  </si>
  <si>
    <t>Total Calculated Emissions for water supply &amp; wastewater treatment</t>
  </si>
  <si>
    <t>Wastewater treatment emission factors</t>
  </si>
  <si>
    <t>Domestic wastewater</t>
  </si>
  <si>
    <t>Average for wastewater treatment plants</t>
  </si>
  <si>
    <r>
      <t>m</t>
    </r>
    <r>
      <rPr>
        <vertAlign val="superscript"/>
        <sz val="11"/>
        <color rgb="FF000000"/>
        <rFont val="Calibri"/>
        <family val="2"/>
      </rPr>
      <t>3</t>
    </r>
    <r>
      <rPr>
        <sz val="11"/>
        <color rgb="FF000000"/>
        <rFont val="Calibri"/>
        <family val="2"/>
      </rPr>
      <t xml:space="preserve"> of water supplied</t>
    </r>
  </si>
  <si>
    <t>Calculated using New Zealand data and IPCC defaults</t>
  </si>
  <si>
    <t>CH4 ± 40%, N2O ± 10%</t>
  </si>
  <si>
    <t>per capita</t>
  </si>
  <si>
    <t>Septic tanks</t>
  </si>
  <si>
    <t>Industrial Wastewater</t>
  </si>
  <si>
    <t>Meat (excl poultry)</t>
  </si>
  <si>
    <t>tonne of kills</t>
  </si>
  <si>
    <t>Poultry</t>
  </si>
  <si>
    <t>Pulp &amp; paper</t>
  </si>
  <si>
    <t>tonne of product</t>
  </si>
  <si>
    <t>Wine</t>
  </si>
  <si>
    <t>tonne of crushed grapes</t>
  </si>
  <si>
    <t>Dairy processing</t>
  </si>
  <si>
    <t>m3 of milk</t>
  </si>
  <si>
    <t>Water supply emission factors</t>
  </si>
  <si>
    <r>
      <t>m</t>
    </r>
    <r>
      <rPr>
        <vertAlign val="superscript"/>
        <sz val="11"/>
        <color rgb="FF000000"/>
        <rFont val="Calibri"/>
        <family val="2"/>
      </rPr>
      <t>3</t>
    </r>
  </si>
  <si>
    <t>Based on energy related emissions</t>
  </si>
  <si>
    <t>Population based on averages served by Water NZ dataset</t>
  </si>
  <si>
    <t>Waste emission factors</t>
  </si>
  <si>
    <t>Total Calculated Emissions for waste</t>
  </si>
  <si>
    <t> </t>
  </si>
  <si>
    <t>Waste to landfill with gas recovery emission factors</t>
  </si>
  <si>
    <t>Waste (known composition)</t>
  </si>
  <si>
    <t>Waste - Food</t>
  </si>
  <si>
    <r>
      <t>N</t>
    </r>
    <r>
      <rPr>
        <vertAlign val="subscript"/>
        <sz val="11"/>
        <color rgb="FF000000"/>
        <rFont val="Calibri"/>
        <family val="2"/>
      </rPr>
      <t>2</t>
    </r>
    <r>
      <rPr>
        <sz val="11"/>
        <color rgb="FF000000"/>
        <rFont val="Calibri"/>
        <family val="2"/>
      </rPr>
      <t>O and CO</t>
    </r>
    <r>
      <rPr>
        <vertAlign val="subscript"/>
        <sz val="11"/>
        <color rgb="FF000000"/>
        <rFont val="Calibri"/>
        <family val="2"/>
      </rPr>
      <t>2</t>
    </r>
    <r>
      <rPr>
        <sz val="11"/>
        <color rgb="FF000000"/>
        <rFont val="Calibri"/>
        <family val="2"/>
      </rPr>
      <t xml:space="preserve"> are excluded</t>
    </r>
  </si>
  <si>
    <t>±40%</t>
  </si>
  <si>
    <t>Waste - Garden</t>
  </si>
  <si>
    <t>Waste - Paper</t>
  </si>
  <si>
    <t>Waste - Wood (combined)</t>
  </si>
  <si>
    <t>Wood (treated)</t>
  </si>
  <si>
    <t>Wood (untreated)</t>
  </si>
  <si>
    <t>Waste - Textile</t>
  </si>
  <si>
    <t>Waste - Nappies</t>
  </si>
  <si>
    <t>Waste - Sludge</t>
  </si>
  <si>
    <t>Waste - Other (Inert)</t>
  </si>
  <si>
    <t>Waste (unknown composition)</t>
  </si>
  <si>
    <t>General waste</t>
  </si>
  <si>
    <t>Not quantified</t>
  </si>
  <si>
    <t>Office waste</t>
  </si>
  <si>
    <t>Waste to landfill without gas recovery emission factors</t>
  </si>
  <si>
    <t>Biological Treatment of waste</t>
  </si>
  <si>
    <t>Biological treatment of waste</t>
  </si>
  <si>
    <t>Composting</t>
  </si>
  <si>
    <t>Uncertainties taken from New Zealand’s National GHG Inventory 1990-2021</t>
  </si>
  <si>
    <t>±100%</t>
  </si>
  <si>
    <t>Anaerobic digestion</t>
  </si>
  <si>
    <t>Kg</t>
  </si>
  <si>
    <t>IPCC default emission factors used</t>
  </si>
  <si>
    <t>IPCC uncertainties</t>
  </si>
  <si>
    <t>Non municipal waste</t>
  </si>
  <si>
    <t>Biological (sludge)</t>
  </si>
  <si>
    <t>Construction &amp; Demolition</t>
  </si>
  <si>
    <t>Bulk Waste</t>
  </si>
  <si>
    <t>Food</t>
  </si>
  <si>
    <t>Garden</t>
  </si>
  <si>
    <t>Industrial</t>
  </si>
  <si>
    <t>Wood</t>
  </si>
  <si>
    <t>Inert (all other waste)</t>
  </si>
  <si>
    <t>Average for non-municipal solid waste</t>
  </si>
  <si>
    <t>Intentionally left blank</t>
  </si>
  <si>
    <t>Default Scope</t>
  </si>
  <si>
    <t>T&amp;D losses</t>
  </si>
  <si>
    <t>Purchased energy</t>
  </si>
  <si>
    <t>Working from home</t>
  </si>
  <si>
    <t>Freight Transport</t>
  </si>
  <si>
    <t>Water supply and wastewater treatment</t>
  </si>
  <si>
    <t>Waste</t>
  </si>
  <si>
    <t xml:space="preserve">Total GHG Inventory Emissions </t>
  </si>
  <si>
    <t>Total scope 1</t>
  </si>
  <si>
    <t>Total scope 2</t>
  </si>
  <si>
    <t>Total scope 3</t>
  </si>
  <si>
    <t xml:space="preserve">Optional -  Scope 3 emissions based on worksheet inputs </t>
  </si>
  <si>
    <r>
      <t>Tonnes CO</t>
    </r>
    <r>
      <rPr>
        <b/>
        <vertAlign val="subscript"/>
        <sz val="14"/>
        <color rgb="FF000000"/>
        <rFont val="Calibri"/>
        <family val="2"/>
      </rPr>
      <t>2</t>
    </r>
    <r>
      <rPr>
        <b/>
        <sz val="14"/>
        <color rgb="FF000000"/>
        <rFont val="Calibri"/>
        <family val="2"/>
      </rPr>
      <t>-e</t>
    </r>
  </si>
  <si>
    <r>
      <t>CO</t>
    </r>
    <r>
      <rPr>
        <b/>
        <vertAlign val="subscript"/>
        <sz val="14"/>
        <color rgb="FF000000"/>
        <rFont val="Calibri"/>
        <family val="2"/>
      </rPr>
      <t xml:space="preserve">2 </t>
    </r>
    <r>
      <rPr>
        <b/>
        <sz val="14"/>
        <color rgb="FF000000"/>
        <rFont val="Calibri"/>
        <family val="2"/>
      </rPr>
      <t>(tonnes CO</t>
    </r>
    <r>
      <rPr>
        <b/>
        <vertAlign val="subscript"/>
        <sz val="14"/>
        <color rgb="FF000000"/>
        <rFont val="Calibri"/>
        <family val="2"/>
      </rPr>
      <t>2</t>
    </r>
    <r>
      <rPr>
        <b/>
        <sz val="14"/>
        <color rgb="FF000000"/>
        <rFont val="Calibri"/>
        <family val="2"/>
      </rPr>
      <t>)</t>
    </r>
  </si>
  <si>
    <r>
      <t>CH</t>
    </r>
    <r>
      <rPr>
        <b/>
        <vertAlign val="subscript"/>
        <sz val="14"/>
        <color rgb="FF000000"/>
        <rFont val="Calibri"/>
        <family val="2"/>
      </rPr>
      <t>4</t>
    </r>
    <r>
      <rPr>
        <b/>
        <sz val="14"/>
        <color rgb="FF000000"/>
        <rFont val="Calibri"/>
        <family val="2"/>
      </rPr>
      <t xml:space="preserve"> (tonnes CO</t>
    </r>
    <r>
      <rPr>
        <b/>
        <vertAlign val="subscript"/>
        <sz val="14"/>
        <color rgb="FF000000"/>
        <rFont val="Calibri"/>
        <family val="2"/>
      </rPr>
      <t>2</t>
    </r>
    <r>
      <rPr>
        <b/>
        <sz val="14"/>
        <color rgb="FF000000"/>
        <rFont val="Calibri"/>
        <family val="2"/>
      </rPr>
      <t>-e)</t>
    </r>
  </si>
  <si>
    <r>
      <t>N</t>
    </r>
    <r>
      <rPr>
        <b/>
        <vertAlign val="subscript"/>
        <sz val="14"/>
        <color rgb="FF000000"/>
        <rFont val="Calibri"/>
        <family val="2"/>
      </rPr>
      <t>2</t>
    </r>
    <r>
      <rPr>
        <b/>
        <sz val="14"/>
        <color rgb="FF000000"/>
        <rFont val="Calibri"/>
        <family val="2"/>
      </rPr>
      <t>O (tonnes CO</t>
    </r>
    <r>
      <rPr>
        <b/>
        <vertAlign val="subscript"/>
        <sz val="14"/>
        <color rgb="FF000000"/>
        <rFont val="Calibri"/>
        <family val="2"/>
      </rPr>
      <t>2</t>
    </r>
    <r>
      <rPr>
        <b/>
        <sz val="14"/>
        <color rgb="FF000000"/>
        <rFont val="Calibri"/>
        <family val="2"/>
      </rPr>
      <t>-e)</t>
    </r>
  </si>
  <si>
    <t>n.a.</t>
  </si>
  <si>
    <t xml:space="preserve">Priority - Scope 1 &amp; 2 emissions based on worksheet inputs </t>
  </si>
  <si>
    <t>&lt;&lt;&lt; note biofuels are not counted towards scope 1 emissions</t>
  </si>
  <si>
    <t>&lt;&lt;&lt; This section is for companies who own or control equipment (like a boiler) that burns combustion fuels.</t>
  </si>
  <si>
    <t xml:space="preserve">&lt;&lt;&lt; This section is for companies who own or operate company vehicles. This does not include employee's private vehicles. </t>
  </si>
  <si>
    <t xml:space="preserve">&lt;&lt;&lt; This section is for companies who consider the leakage or unintentional leaks and spills from refrigeration units, HVAC systems, air conditioners and heat pumps to make up over 5% of their total emissions. Or use medical gases in their operations. </t>
  </si>
  <si>
    <r>
      <t>All emissions are expressed as kg of carbon dioxide equivalent (kg CO</t>
    </r>
    <r>
      <rPr>
        <vertAlign val="subscript"/>
        <sz val="11"/>
        <color rgb="FF000000"/>
        <rFont val="Calibri"/>
        <family val="2"/>
      </rPr>
      <t>2</t>
    </r>
    <r>
      <rPr>
        <sz val="11"/>
        <color rgb="FF000000"/>
        <rFont val="Calibri"/>
        <family val="2"/>
      </rPr>
      <t xml:space="preserve">-e) per unit.
</t>
    </r>
    <r>
      <rPr>
        <b/>
        <sz val="11"/>
        <color rgb="FF000000"/>
        <rFont val="Calibri"/>
        <family val="2"/>
      </rPr>
      <t>Users should aim to enter electricity usage per quarter</t>
    </r>
    <r>
      <rPr>
        <sz val="11"/>
        <color rgb="FF000000"/>
        <rFont val="Calibri"/>
        <family val="2"/>
      </rPr>
      <t xml:space="preserve"> as the more accurate measure but if not possible then enter the annual usage </t>
    </r>
  </si>
  <si>
    <t xml:space="preserve">&lt;&lt;&lt; This section should apply to most, if not all, companies who use an office space and therefore consume electricity. </t>
  </si>
  <si>
    <t xml:space="preserve">&lt;&lt;&lt; This section should apply to most, if not all, companies who have employees working from home. </t>
  </si>
  <si>
    <r>
      <t>These factors cover emissions from waste-to-landfill and the biological treatment of waste.
A landfill gas recovery system collects methane gas from the landfill and destroys it by flaring or combustion.
All emissions are expressed as kg of carbon dioxide equivalent (kg CO</t>
    </r>
    <r>
      <rPr>
        <vertAlign val="subscript"/>
        <sz val="11"/>
        <color rgb="FF000000"/>
        <rFont val="Calibri"/>
        <family val="2"/>
      </rPr>
      <t>2</t>
    </r>
    <r>
      <rPr>
        <sz val="11"/>
        <color rgb="FF000000"/>
        <rFont val="Calibri"/>
        <family val="2"/>
      </rPr>
      <t xml:space="preserve">-e) per unit.
</t>
    </r>
    <r>
      <rPr>
        <b/>
        <sz val="12"/>
        <color theme="4"/>
        <rFont val="Calibri"/>
        <family val="2"/>
      </rPr>
      <t xml:space="preserve">
Waste is another area like passenger transport that is likely to apply to most if not all, companies but is also relatively complicated in terms of its calculation. Again, there are both specific (known) inputs and default/general (unknown) inputs. It is preferred to use the known composition inputs but if this information is unknown or unavailable then use the unknown composition inputs. </t>
    </r>
  </si>
  <si>
    <t xml:space="preserve">&lt;&lt;&lt; This section is for companies whose operations include the combustion of biofuels like bioethanol or wood. </t>
  </si>
  <si>
    <r>
      <t>In order to correctly account for freight emissions, note the difference between the units km and tonne kms.
Factors with the unit km assume an averaging loading of the vehicle.
Factors with the unit tonne kms reflect emissions associated with transporting one tonne of goods a distance of one kilometre.
This needs to be pre-calculated prior to use these factors.
All emissions are expressed as kg of carbon dioxide equivalent (kg CO</t>
    </r>
    <r>
      <rPr>
        <vertAlign val="subscript"/>
        <sz val="11"/>
        <color rgb="FF000000"/>
        <rFont val="Calibri"/>
        <family val="2"/>
      </rPr>
      <t>2</t>
    </r>
    <r>
      <rPr>
        <sz val="11"/>
        <color rgb="FF000000"/>
        <rFont val="Calibri"/>
        <family val="2"/>
      </rPr>
      <t xml:space="preserve">-e) per unit.
</t>
    </r>
    <r>
      <rPr>
        <b/>
        <sz val="12"/>
        <color theme="4"/>
        <rFont val="Calibri"/>
        <family val="2"/>
      </rPr>
      <t xml:space="preserve">Freight transport emissions apply to companies who freight goods through third-party providers (companies who directly own freight vehicles would count these emissions under Scope 1 fuel emissions. Similar to passenger transport, there are several options in this tab with varying degrees of specificity. It is always advisable to use the more specific option to calculate emissions, however, if this is not possible then use the default sections. Again, you may need to request information from your third-party provider. Due to the added complexity of recording these emissions, it is advised that companies follow the Ministry for the Environments detailed guide which can be found here: </t>
    </r>
    <r>
      <rPr>
        <b/>
        <u/>
        <sz val="12"/>
        <color theme="1"/>
        <rFont val="Calibri"/>
        <family val="2"/>
      </rPr>
      <t>https://environment.govt.nz/assets/publications/Measuring-Emissions-Guidance_DetailedGuide_2023_ME1764.pdf</t>
    </r>
    <r>
      <rPr>
        <sz val="11"/>
        <color rgb="FF000000"/>
        <rFont val="Calibri"/>
        <family val="2"/>
      </rPr>
      <t xml:space="preserve">
</t>
    </r>
  </si>
  <si>
    <r>
      <t>All emissions are expressed as kg of carbon dioxide equivalent (kg CO</t>
    </r>
    <r>
      <rPr>
        <vertAlign val="subscript"/>
        <sz val="11"/>
        <color rgb="FF000000"/>
        <rFont val="Calibri"/>
        <family val="2"/>
      </rPr>
      <t>2</t>
    </r>
    <r>
      <rPr>
        <sz val="11"/>
        <color rgb="FF000000"/>
        <rFont val="Calibri"/>
        <family val="2"/>
      </rPr>
      <t xml:space="preserve">-e) per unit. 
</t>
    </r>
    <r>
      <rPr>
        <b/>
        <sz val="12"/>
        <color theme="4"/>
        <rFont val="Calibri"/>
        <family val="2"/>
      </rPr>
      <t xml:space="preserve">It is unlikely many portfolio companies will need to report on wastewater treatment or water supply. If you believe your organisation does it is recommended to follow the Ministry for the Environment's guidance and refer to Water New Zealand for water utility and treatment plant-specific information. </t>
    </r>
    <r>
      <rPr>
        <sz val="11"/>
        <color rgb="FF000000"/>
        <rFont val="Calibri"/>
        <family val="2"/>
      </rPr>
      <t xml:space="preserve">
</t>
    </r>
  </si>
  <si>
    <t xml:space="preserve">   ^^^ Use these numbers to fill out the ESG VC survey</t>
  </si>
  <si>
    <r>
      <t>For plug-in hybrids, both the fossil fuel and electricity factors should be used.
For flights, the radiative forcing multiplier refers to the direct and indirect climate change effects (non-CO</t>
    </r>
    <r>
      <rPr>
        <vertAlign val="subscript"/>
        <sz val="11"/>
        <color rgb="FF000000"/>
        <rFont val="Calibri"/>
        <family val="2"/>
      </rPr>
      <t>2</t>
    </r>
    <r>
      <rPr>
        <sz val="11"/>
        <color rgb="FF000000"/>
        <rFont val="Calibri"/>
        <family val="2"/>
      </rPr>
      <t xml:space="preserve"> emissions eg, water vapour, contrails, NOx).
Emission factors without a radiative forcing multiplier only refers to the direct climate change effects (CO</t>
    </r>
    <r>
      <rPr>
        <vertAlign val="subscript"/>
        <sz val="11"/>
        <color rgb="FF000000"/>
        <rFont val="Calibri"/>
        <family val="2"/>
      </rPr>
      <t>2</t>
    </r>
    <r>
      <rPr>
        <sz val="11"/>
        <color rgb="FF000000"/>
        <rFont val="Calibri"/>
        <family val="2"/>
      </rPr>
      <t>, CH</t>
    </r>
    <r>
      <rPr>
        <vertAlign val="subscript"/>
        <sz val="11"/>
        <color rgb="FF000000"/>
        <rFont val="Calibri"/>
        <family val="2"/>
      </rPr>
      <t>4</t>
    </r>
    <r>
      <rPr>
        <sz val="11"/>
        <color rgb="FF000000"/>
        <rFont val="Calibri"/>
        <family val="2"/>
      </rPr>
      <t xml:space="preserve"> and N</t>
    </r>
    <r>
      <rPr>
        <vertAlign val="subscript"/>
        <sz val="11"/>
        <color rgb="FF000000"/>
        <rFont val="Calibri"/>
        <family val="2"/>
      </rPr>
      <t>2</t>
    </r>
    <r>
      <rPr>
        <sz val="11"/>
        <color rgb="FF000000"/>
        <rFont val="Calibri"/>
        <family val="2"/>
      </rPr>
      <t>O).
All emissions are expressed as kg of carbon dioxide equivalent (kg CO</t>
    </r>
    <r>
      <rPr>
        <vertAlign val="subscript"/>
        <sz val="11"/>
        <color rgb="FF000000"/>
        <rFont val="Calibri"/>
        <family val="2"/>
      </rPr>
      <t>2</t>
    </r>
    <r>
      <rPr>
        <sz val="11"/>
        <color rgb="FF000000"/>
        <rFont val="Calibri"/>
        <family val="2"/>
      </rPr>
      <t xml:space="preserve">-e) per unit. 
</t>
    </r>
    <r>
      <rPr>
        <b/>
        <sz val="12"/>
        <color theme="4"/>
        <rFont val="Calibri"/>
        <family val="2"/>
      </rPr>
      <t>Passenger transport emissions apply to most, if not all, companies who's employees commute or travel for work. There are a number of options in this tab with varying degrees of specificity i.e. default car emission factors versus engine size and model specific factors. It is always advisable to use the more specific option to calculate emissions, however, if this is not possible then use the default sections. Due to the added complexity of recording these emissions it is advised that companies follow the Ministry for the Environments detailed guide which can be found here:</t>
    </r>
    <r>
      <rPr>
        <b/>
        <sz val="12"/>
        <color rgb="FF00B0F0"/>
        <rFont val="Calibri"/>
        <family val="2"/>
      </rPr>
      <t xml:space="preserve"> </t>
    </r>
    <r>
      <rPr>
        <b/>
        <u/>
        <sz val="12"/>
        <color theme="1"/>
        <rFont val="Calibri"/>
        <family val="2"/>
      </rPr>
      <t>https://environment.govt.nz/assets/publications/Measuring-Emissions-Guidance_DetailedGuide_2023_ME1764.pdf</t>
    </r>
    <r>
      <rPr>
        <b/>
        <sz val="12"/>
        <color rgb="FF00B0F0"/>
        <rFont val="Calibri"/>
        <family val="2"/>
      </rPr>
      <t xml:space="preserve">
</t>
    </r>
    <r>
      <rPr>
        <sz val="11"/>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</si>
</sst>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000000"/>
      <name val="Calibri"/>
      <family val="2"/>
      <scheme val="minor"/>
    </font>
    <font>
      <b/>
      <sz val="24"/>
      <color rgb="FF1C556C"/>
      <name val="Calibri"/>
      <family val="2"/>
    </font>
    <font>
      <b/>
      <sz val="18"/>
      <color rgb="FF1C556C"/>
      <name val="Calibri"/>
      <family val="2"/>
    </font>
    <font>
      <b/>
      <sz val="11"/>
      <color rgb="FFFFFFFF"/>
      <name val="Calibri"/>
      <family val="2"/>
    </font>
    <font>
      <sz val="11"/>
      <color rgb="FF000000"/>
      <name val="Calibri"/>
      <family val="2"/>
    </font>
    <font>
      <vertAlign val="subscript"/>
      <sz val="11"/>
      <color rgb="FF000000"/>
      <name val="Calibri"/>
      <family val="2"/>
    </font>
    <font>
      <b/>
      <sz val="11"/>
      <color rgb="FFFFFFFF"/>
      <name val="Calibri"/>
      <family val="2"/>
    </font>
    <font>
      <b/>
      <sz val="11"/>
      <color rgb="FF000000"/>
      <name val="Calibri"/>
      <family val="2"/>
    </font>
    <font>
      <sz val="11"/>
      <color rgb="FF000000"/>
      <name val="Calibri"/>
      <family val="2"/>
    </font>
    <font>
      <b/>
      <sz val="11"/>
      <color rgb="FF000000"/>
      <name val="Calibri"/>
      <family val="2"/>
    </font>
    <font>
      <vertAlign val="superscript"/>
      <sz val="11"/>
      <color rgb="FF000000"/>
      <name val="Calibri"/>
      <family val="2"/>
    </font>
    <font>
      <sz val="14"/>
      <color rgb="FF000000"/>
      <name val="Calibri"/>
      <family val="2"/>
    </font>
    <font>
      <b/>
      <sz val="14"/>
      <color rgb="FFFFFFFF"/>
      <name val="Calibri"/>
      <family val="2"/>
    </font>
    <font>
      <b/>
      <sz val="14"/>
      <color rgb="FF000000"/>
      <name val="Calibri"/>
      <family val="2"/>
    </font>
    <font>
      <b/>
      <vertAlign val="subscript"/>
      <sz val="14"/>
      <color rgb="FF000000"/>
      <name val="Calibri"/>
      <family val="2"/>
    </font>
    <font>
      <b/>
      <sz val="14"/>
      <color theme="1"/>
      <name val="Calibri"/>
      <family val="2"/>
    </font>
    <font>
      <b/>
      <sz val="14"/>
      <name val="Calibri"/>
      <family val="2"/>
    </font>
    <font>
      <sz val="14"/>
      <color theme="1"/>
      <name val="Calibri"/>
      <family val="2"/>
      <scheme val="minor"/>
    </font>
    <font>
      <sz val="14"/>
      <color rgb="FFFFFFFF"/>
      <name val="Calibri"/>
      <family val="2"/>
    </font>
    <font>
      <b/>
      <sz val="12"/>
      <color rgb="FF00B0F0"/>
      <name val="Calibri"/>
      <family val="2"/>
      <scheme val="minor"/>
    </font>
    <font>
      <b/>
      <sz val="12"/>
      <color rgb="FF00B0F0"/>
      <name val="Calibri"/>
      <family val="2"/>
    </font>
    <font>
      <b/>
      <u/>
      <sz val="12"/>
      <color theme="1"/>
      <name val="Calibri"/>
      <family val="2"/>
    </font>
    <font>
      <b/>
      <sz val="12"/>
      <color theme="4"/>
      <name val="Calibri"/>
      <family val="2"/>
    </font>
  </fonts>
  <fills count="18">
    <fill>
      <patternFill patternType="none"/>
    </fill>
    <fill>
      <patternFill patternType="gray125"/>
    </fill>
    <fill>
      <patternFill patternType="solid">
        <fgColor rgb="FFFFFFFF"/>
      </patternFill>
    </fill>
    <fill>
      <patternFill patternType="solid">
        <fgColor rgb="FF1C556C"/>
      </patternFill>
    </fill>
    <fill>
      <patternFill patternType="solid">
        <fgColor rgb="FFEEEEEE"/>
      </patternFill>
    </fill>
    <fill>
      <patternFill patternType="solid">
        <fgColor rgb="FF1C556C"/>
        <bgColor rgb="FF000000"/>
      </patternFill>
    </fill>
    <fill>
      <patternFill patternType="solid">
        <fgColor rgb="FF8EAAB7"/>
      </patternFill>
    </fill>
    <fill>
      <patternFill patternType="solid">
        <fgColor rgb="FFB7C8D0"/>
        <bgColor rgb="FF000000"/>
      </patternFill>
    </fill>
    <fill>
      <patternFill patternType="solid">
        <fgColor rgb="FFD2DDE2"/>
        <bgColor rgb="FF000000"/>
      </patternFill>
    </fill>
    <fill>
      <patternFill patternType="solid">
        <fgColor rgb="FFFFFF00"/>
        <bgColor rgb="FF000000"/>
      </patternFill>
    </fill>
    <fill>
      <patternFill patternType="solid">
        <fgColor rgb="FFD9D9D9"/>
      </patternFill>
    </fill>
    <fill>
      <patternFill patternType="solid">
        <fgColor rgb="FFE9E9E9"/>
      </patternFill>
    </fill>
    <fill>
      <patternFill patternType="solid">
        <fgColor rgb="FFD2DDE2"/>
        <bgColor indexed="64"/>
      </patternFill>
    </fill>
    <fill>
      <patternFill patternType="solid">
        <fgColor rgb="FF8EAAB7"/>
        <bgColor rgb="FF000000"/>
      </patternFill>
    </fill>
    <fill>
      <patternFill patternType="solid">
        <fgColor rgb="FFFFFFFF"/>
        <bgColor rgb="FF000000"/>
      </patternFill>
    </fill>
    <fill>
      <patternFill patternType="solid">
        <fgColor theme="9"/>
        <bgColor indexed="64"/>
      </patternFill>
    </fill>
    <fill>
      <patternFill patternType="solid">
        <fgColor theme="7"/>
        <bgColor indexed="64"/>
      </patternFill>
    </fill>
    <fill>
      <patternFill patternType="solid">
        <fgColor theme="4"/>
        <bgColor indexed="64"/>
      </patternFill>
    </fill>
  </fills>
  <borders count="4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rgb="FF1C556C"/>
      </right>
      <top/>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right/>
      <top style="thin">
        <color rgb="FF1C556C"/>
      </top>
      <bottom/>
      <diagonal/>
    </border>
    <border>
      <left/>
      <right style="thin">
        <color rgb="FF1C556C"/>
      </right>
      <top/>
      <bottom style="thin">
        <color rgb="FF1C556C"/>
      </bottom>
      <diagonal/>
    </border>
    <border>
      <left style="medium">
        <color rgb="FF000000"/>
      </left>
      <right/>
      <top style="medium">
        <color rgb="FF000000"/>
      </top>
      <bottom style="thin">
        <color rgb="FF000000"/>
      </bottom>
      <diagonal/>
    </border>
    <border>
      <left style="medium">
        <color rgb="FF000000"/>
      </left>
      <right/>
      <top/>
      <bottom style="thin">
        <color rgb="FF000000"/>
      </bottom>
      <diagonal/>
    </border>
    <border>
      <left style="medium">
        <color rgb="FF000000"/>
      </left>
      <right/>
      <top/>
      <bottom style="medium">
        <color rgb="FF000000"/>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xf numFmtId="0" fontId="1" fillId="0" borderId="0"/>
  </cellStyleXfs>
  <cellXfs count="165">
    <xf numFmtId="0" fontId="0" fillId="0" borderId="0" xfId="0"/>
    <xf numFmtId="0" fontId="2" fillId="2" borderId="0" xfId="1" applyFont="1" applyFill="1" applyAlignment="1">
      <alignment vertical="top"/>
    </xf>
    <xf numFmtId="0" fontId="1" fillId="0" borderId="0" xfId="1"/>
    <xf numFmtId="0" fontId="4" fillId="3" borderId="0" xfId="1" applyFont="1" applyFill="1" applyAlignment="1">
      <alignment horizontal="left" vertical="top"/>
    </xf>
    <xf numFmtId="0" fontId="8" fillId="6" borderId="5" xfId="1" applyFont="1" applyFill="1" applyBorder="1" applyAlignment="1">
      <alignment horizontal="right" vertical="top"/>
    </xf>
    <xf numFmtId="2" fontId="9" fillId="7" borderId="6" xfId="1" applyNumberFormat="1" applyFont="1" applyFill="1" applyBorder="1" applyAlignment="1">
      <alignment horizontal="right"/>
    </xf>
    <xf numFmtId="2" fontId="9" fillId="8" borderId="7" xfId="1" applyNumberFormat="1" applyFont="1" applyFill="1" applyBorder="1"/>
    <xf numFmtId="2" fontId="9" fillId="7" borderId="8" xfId="1" applyNumberFormat="1" applyFont="1" applyFill="1" applyBorder="1" applyAlignment="1">
      <alignment horizontal="right"/>
    </xf>
    <xf numFmtId="2" fontId="9" fillId="8" borderId="8" xfId="1" applyNumberFormat="1" applyFont="1" applyFill="1" applyBorder="1"/>
    <xf numFmtId="0" fontId="10" fillId="6" borderId="1" xfId="1" applyFont="1" applyFill="1" applyBorder="1" applyAlignment="1">
      <alignment horizontal="left" vertical="top"/>
    </xf>
    <xf numFmtId="0" fontId="10" fillId="6" borderId="10" xfId="1" applyFont="1" applyFill="1" applyBorder="1" applyAlignment="1">
      <alignment horizontal="left" vertical="top"/>
    </xf>
    <xf numFmtId="0" fontId="10" fillId="9" borderId="11" xfId="1" applyFont="1" applyFill="1" applyBorder="1" applyAlignment="1">
      <alignment horizontal="center"/>
    </xf>
    <xf numFmtId="0" fontId="10" fillId="6" borderId="12" xfId="1" applyFont="1" applyFill="1" applyBorder="1" applyAlignment="1">
      <alignment horizontal="right" vertical="top"/>
    </xf>
    <xf numFmtId="0" fontId="5" fillId="2" borderId="5" xfId="1" applyFont="1" applyFill="1" applyBorder="1" applyAlignment="1">
      <alignment horizontal="left" vertical="top"/>
    </xf>
    <xf numFmtId="0" fontId="5" fillId="2" borderId="15" xfId="1" applyFont="1" applyFill="1" applyBorder="1" applyAlignment="1">
      <alignment horizontal="left" vertical="top"/>
    </xf>
    <xf numFmtId="0" fontId="5" fillId="9" borderId="16" xfId="1" applyFont="1" applyFill="1" applyBorder="1"/>
    <xf numFmtId="2" fontId="5" fillId="7" borderId="17" xfId="1" applyNumberFormat="1" applyFont="1" applyFill="1" applyBorder="1" applyAlignment="1">
      <alignment horizontal="right"/>
    </xf>
    <xf numFmtId="2" fontId="5" fillId="12" borderId="17" xfId="1" applyNumberFormat="1" applyFont="1" applyFill="1" applyBorder="1" applyAlignment="1">
      <alignment horizontal="right"/>
    </xf>
    <xf numFmtId="0" fontId="5" fillId="2" borderId="2" xfId="1" applyFont="1" applyFill="1" applyBorder="1" applyAlignment="1">
      <alignment horizontal="left" vertical="top"/>
    </xf>
    <xf numFmtId="0" fontId="5" fillId="9" borderId="19" xfId="1" applyFont="1" applyFill="1" applyBorder="1"/>
    <xf numFmtId="2" fontId="5" fillId="7" borderId="20" xfId="1" applyNumberFormat="1" applyFont="1" applyFill="1" applyBorder="1" applyAlignment="1">
      <alignment horizontal="right"/>
    </xf>
    <xf numFmtId="2" fontId="5" fillId="12" borderId="20" xfId="1" applyNumberFormat="1" applyFont="1" applyFill="1" applyBorder="1" applyAlignment="1">
      <alignment horizontal="right"/>
    </xf>
    <xf numFmtId="0" fontId="5" fillId="9" borderId="21" xfId="1" applyFont="1" applyFill="1" applyBorder="1"/>
    <xf numFmtId="0" fontId="5" fillId="2" borderId="3" xfId="1" applyFont="1" applyFill="1" applyBorder="1" applyAlignment="1">
      <alignment horizontal="left" vertical="top"/>
    </xf>
    <xf numFmtId="2" fontId="5" fillId="7" borderId="25" xfId="1" applyNumberFormat="1" applyFont="1" applyFill="1" applyBorder="1" applyAlignment="1">
      <alignment horizontal="right"/>
    </xf>
    <xf numFmtId="2" fontId="5" fillId="12" borderId="25" xfId="1" applyNumberFormat="1" applyFont="1" applyFill="1" applyBorder="1" applyAlignment="1">
      <alignment horizontal="right"/>
    </xf>
    <xf numFmtId="0" fontId="5" fillId="2" borderId="0" xfId="1" applyFont="1" applyFill="1" applyAlignment="1">
      <alignment horizontal="left" vertical="top"/>
    </xf>
    <xf numFmtId="0" fontId="7" fillId="13" borderId="26" xfId="1" applyFont="1" applyFill="1" applyBorder="1" applyAlignment="1">
      <alignment horizontal="right"/>
    </xf>
    <xf numFmtId="2" fontId="5" fillId="7" borderId="1" xfId="1" applyNumberFormat="1" applyFont="1" applyFill="1" applyBorder="1" applyAlignment="1">
      <alignment horizontal="right"/>
    </xf>
    <xf numFmtId="2" fontId="9" fillId="12" borderId="5" xfId="1" applyNumberFormat="1" applyFont="1" applyFill="1" applyBorder="1" applyAlignment="1">
      <alignment horizontal="right"/>
    </xf>
    <xf numFmtId="0" fontId="10" fillId="6" borderId="5" xfId="1" applyFont="1" applyFill="1" applyBorder="1" applyAlignment="1">
      <alignment horizontal="left" vertical="top"/>
    </xf>
    <xf numFmtId="0" fontId="8" fillId="9" borderId="11" xfId="1" applyFont="1" applyFill="1" applyBorder="1" applyAlignment="1">
      <alignment horizontal="center"/>
    </xf>
    <xf numFmtId="0" fontId="10" fillId="6" borderId="5" xfId="1" applyFont="1" applyFill="1" applyBorder="1" applyAlignment="1">
      <alignment horizontal="right" vertical="top"/>
    </xf>
    <xf numFmtId="0" fontId="10" fillId="11" borderId="5" xfId="1" applyFont="1" applyFill="1" applyBorder="1" applyAlignment="1">
      <alignment horizontal="left" vertical="top"/>
    </xf>
    <xf numFmtId="2" fontId="9" fillId="7" borderId="5" xfId="1" applyNumberFormat="1" applyFont="1" applyFill="1" applyBorder="1" applyAlignment="1">
      <alignment horizontal="right"/>
    </xf>
    <xf numFmtId="0" fontId="10" fillId="11" borderId="12" xfId="1" applyFont="1" applyFill="1" applyBorder="1" applyAlignment="1">
      <alignment horizontal="left" vertical="top"/>
    </xf>
    <xf numFmtId="2" fontId="9" fillId="12" borderId="20" xfId="1" applyNumberFormat="1" applyFont="1" applyFill="1" applyBorder="1" applyAlignment="1">
      <alignment horizontal="right"/>
    </xf>
    <xf numFmtId="0" fontId="4" fillId="3" borderId="0" xfId="1" applyFont="1" applyFill="1" applyAlignment="1">
      <alignment vertical="top"/>
    </xf>
    <xf numFmtId="0" fontId="10" fillId="6" borderId="13" xfId="1" applyFont="1" applyFill="1" applyBorder="1" applyAlignment="1">
      <alignment horizontal="left" vertical="top"/>
    </xf>
    <xf numFmtId="0" fontId="10" fillId="6" borderId="3" xfId="1" applyFont="1" applyFill="1" applyBorder="1" applyAlignment="1">
      <alignment horizontal="left" vertical="top"/>
    </xf>
    <xf numFmtId="0" fontId="10" fillId="10" borderId="5" xfId="1" applyFont="1" applyFill="1" applyBorder="1" applyAlignment="1">
      <alignment horizontal="left" vertical="top"/>
    </xf>
    <xf numFmtId="0" fontId="10" fillId="10" borderId="1" xfId="1" applyFont="1" applyFill="1" applyBorder="1" applyAlignment="1">
      <alignment horizontal="left" vertical="top"/>
    </xf>
    <xf numFmtId="0" fontId="5" fillId="9" borderId="27" xfId="1" applyFont="1" applyFill="1" applyBorder="1"/>
    <xf numFmtId="0" fontId="5" fillId="9" borderId="28" xfId="1" applyFont="1" applyFill="1" applyBorder="1"/>
    <xf numFmtId="2" fontId="5" fillId="7" borderId="6" xfId="1" applyNumberFormat="1" applyFont="1" applyFill="1" applyBorder="1" applyAlignment="1">
      <alignment horizontal="right"/>
    </xf>
    <xf numFmtId="2" fontId="5" fillId="12" borderId="6" xfId="1" applyNumberFormat="1" applyFont="1" applyFill="1" applyBorder="1" applyAlignment="1">
      <alignment horizontal="right"/>
    </xf>
    <xf numFmtId="2" fontId="5" fillId="7" borderId="5" xfId="1" applyNumberFormat="1" applyFont="1" applyFill="1" applyBorder="1" applyAlignment="1">
      <alignment horizontal="right"/>
    </xf>
    <xf numFmtId="2" fontId="5" fillId="12" borderId="5" xfId="1" applyNumberFormat="1" applyFont="1" applyFill="1" applyBorder="1" applyAlignment="1">
      <alignment horizontal="right"/>
    </xf>
    <xf numFmtId="0" fontId="10" fillId="11" borderId="5" xfId="1" applyFont="1" applyFill="1" applyBorder="1" applyAlignment="1">
      <alignment horizontal="right" vertical="top"/>
    </xf>
    <xf numFmtId="0" fontId="4" fillId="3" borderId="22" xfId="1" applyFont="1" applyFill="1" applyBorder="1" applyAlignment="1">
      <alignment horizontal="left" vertical="top"/>
    </xf>
    <xf numFmtId="0" fontId="10" fillId="6" borderId="3" xfId="1" applyFont="1" applyFill="1" applyBorder="1" applyAlignment="1">
      <alignment horizontal="center" vertical="top"/>
    </xf>
    <xf numFmtId="0" fontId="10" fillId="9" borderId="29" xfId="1" applyFont="1" applyFill="1" applyBorder="1" applyAlignment="1">
      <alignment horizontal="center"/>
    </xf>
    <xf numFmtId="0" fontId="10" fillId="6" borderId="10" xfId="1" applyFont="1" applyFill="1" applyBorder="1" applyAlignment="1">
      <alignment horizontal="center" vertical="top"/>
    </xf>
    <xf numFmtId="0" fontId="10" fillId="6" borderId="30" xfId="1" applyFont="1" applyFill="1" applyBorder="1" applyAlignment="1">
      <alignment horizontal="right" vertical="top"/>
    </xf>
    <xf numFmtId="0" fontId="10" fillId="11" borderId="14" xfId="1" applyFont="1" applyFill="1" applyBorder="1" applyAlignment="1">
      <alignment horizontal="left" vertical="top"/>
    </xf>
    <xf numFmtId="0" fontId="10" fillId="6" borderId="30" xfId="1" applyFont="1" applyFill="1" applyBorder="1" applyAlignment="1">
      <alignment horizontal="left" vertical="top"/>
    </xf>
    <xf numFmtId="0" fontId="5" fillId="2" borderId="1" xfId="1" applyFont="1" applyFill="1" applyBorder="1" applyAlignment="1">
      <alignment horizontal="left" vertical="top"/>
    </xf>
    <xf numFmtId="2" fontId="9" fillId="12" borderId="17" xfId="1" applyNumberFormat="1" applyFont="1" applyFill="1" applyBorder="1" applyAlignment="1">
      <alignment horizontal="right"/>
    </xf>
    <xf numFmtId="0" fontId="7" fillId="5" borderId="0" xfId="1" applyFont="1" applyFill="1" applyAlignment="1">
      <alignment wrapText="1"/>
    </xf>
    <xf numFmtId="2" fontId="9" fillId="7" borderId="17" xfId="1" applyNumberFormat="1" applyFont="1" applyFill="1" applyBorder="1" applyAlignment="1">
      <alignment horizontal="right"/>
    </xf>
    <xf numFmtId="2" fontId="9" fillId="8" borderId="32" xfId="1" applyNumberFormat="1" applyFont="1" applyFill="1" applyBorder="1"/>
    <xf numFmtId="2" fontId="5" fillId="7" borderId="0" xfId="1" applyNumberFormat="1" applyFont="1" applyFill="1" applyAlignment="1">
      <alignment horizontal="right"/>
    </xf>
    <xf numFmtId="0" fontId="10" fillId="6" borderId="3" xfId="1" applyFont="1" applyFill="1" applyBorder="1" applyAlignment="1">
      <alignment horizontal="right" vertical="top"/>
    </xf>
    <xf numFmtId="0" fontId="9" fillId="2" borderId="0" xfId="1" applyFont="1" applyFill="1" applyAlignment="1">
      <alignment horizontal="left" vertical="top"/>
    </xf>
    <xf numFmtId="0" fontId="1" fillId="0" borderId="0" xfId="1" applyAlignment="1">
      <alignment horizontal="left"/>
    </xf>
    <xf numFmtId="0" fontId="2" fillId="2" borderId="0" xfId="1" applyFont="1" applyFill="1" applyAlignment="1">
      <alignment horizontal="left" vertical="top"/>
    </xf>
    <xf numFmtId="0" fontId="5" fillId="2" borderId="12" xfId="1" applyFont="1" applyFill="1" applyBorder="1" applyAlignment="1">
      <alignment horizontal="left" vertical="top"/>
    </xf>
    <xf numFmtId="0" fontId="5" fillId="9" borderId="33" xfId="1" applyFont="1" applyFill="1" applyBorder="1"/>
    <xf numFmtId="0" fontId="5" fillId="9" borderId="34" xfId="1" applyFont="1" applyFill="1" applyBorder="1"/>
    <xf numFmtId="0" fontId="5" fillId="9" borderId="35" xfId="1" applyFont="1" applyFill="1" applyBorder="1"/>
    <xf numFmtId="0" fontId="5" fillId="2" borderId="5" xfId="1" applyFont="1" applyFill="1" applyBorder="1" applyAlignment="1">
      <alignment vertical="top"/>
    </xf>
    <xf numFmtId="0" fontId="5" fillId="0" borderId="5" xfId="1" applyFont="1" applyBorder="1" applyAlignment="1">
      <alignment horizontal="left" vertical="top"/>
    </xf>
    <xf numFmtId="0" fontId="5" fillId="9" borderId="11" xfId="1" applyFont="1" applyFill="1" applyBorder="1"/>
    <xf numFmtId="0" fontId="5" fillId="0" borderId="0" xfId="1" applyFont="1"/>
    <xf numFmtId="0" fontId="7" fillId="13" borderId="36" xfId="1" applyFont="1" applyFill="1" applyBorder="1" applyAlignment="1">
      <alignment horizontal="right"/>
    </xf>
    <xf numFmtId="0" fontId="12" fillId="0" borderId="0" xfId="0" applyFont="1"/>
    <xf numFmtId="0" fontId="13" fillId="5" borderId="37" xfId="0" applyFont="1" applyFill="1" applyBorder="1"/>
    <xf numFmtId="0" fontId="16" fillId="15" borderId="5" xfId="0" applyFont="1" applyFill="1" applyBorder="1" applyAlignment="1">
      <alignment horizontal="right" vertical="top"/>
    </xf>
    <xf numFmtId="0" fontId="17" fillId="14" borderId="17" xfId="0" applyFont="1" applyFill="1" applyBorder="1" applyAlignment="1">
      <alignment horizontal="right"/>
    </xf>
    <xf numFmtId="2" fontId="12" fillId="7" borderId="17" xfId="0" applyNumberFormat="1" applyFont="1" applyFill="1" applyBorder="1" applyAlignment="1">
      <alignment horizontal="right"/>
    </xf>
    <xf numFmtId="2" fontId="12" fillId="8" borderId="32" xfId="0" applyNumberFormat="1" applyFont="1" applyFill="1" applyBorder="1"/>
    <xf numFmtId="0" fontId="16" fillId="16" borderId="5" xfId="0" applyFont="1" applyFill="1" applyBorder="1" applyAlignment="1">
      <alignment horizontal="right" vertical="top"/>
    </xf>
    <xf numFmtId="0" fontId="18" fillId="0" borderId="0" xfId="0" applyFont="1"/>
    <xf numFmtId="0" fontId="16" fillId="17" borderId="5" xfId="0" applyFont="1" applyFill="1" applyBorder="1" applyAlignment="1">
      <alignment horizontal="right" vertical="top"/>
    </xf>
    <xf numFmtId="2" fontId="12" fillId="8" borderId="32" xfId="0" applyNumberFormat="1" applyFont="1" applyFill="1" applyBorder="1" applyAlignment="1">
      <alignment horizontal="right"/>
    </xf>
    <xf numFmtId="0" fontId="13" fillId="5" borderId="8" xfId="0" applyFont="1" applyFill="1" applyBorder="1" applyAlignment="1">
      <alignment horizontal="left" vertical="center"/>
    </xf>
    <xf numFmtId="2" fontId="19" fillId="5" borderId="20" xfId="0" applyNumberFormat="1" applyFont="1" applyFill="1" applyBorder="1"/>
    <xf numFmtId="0" fontId="14" fillId="15" borderId="5" xfId="0" applyFont="1" applyFill="1" applyBorder="1" applyAlignment="1">
      <alignment horizontal="right" vertical="top"/>
    </xf>
    <xf numFmtId="2" fontId="12" fillId="7" borderId="17" xfId="0" applyNumberFormat="1" applyFont="1" applyFill="1" applyBorder="1"/>
    <xf numFmtId="0" fontId="14" fillId="16" borderId="5" xfId="0" applyFont="1" applyFill="1" applyBorder="1" applyAlignment="1">
      <alignment horizontal="right" vertical="top"/>
    </xf>
    <xf numFmtId="0" fontId="14" fillId="17" borderId="5" xfId="0" applyFont="1" applyFill="1" applyBorder="1" applyAlignment="1">
      <alignment horizontal="right" vertical="top"/>
    </xf>
    <xf numFmtId="0" fontId="14" fillId="10" borderId="1" xfId="0" applyFont="1" applyFill="1" applyBorder="1" applyAlignment="1">
      <alignment vertical="center"/>
    </xf>
    <xf numFmtId="0" fontId="14" fillId="6" borderId="38" xfId="0" applyFont="1" applyFill="1" applyBorder="1" applyAlignment="1">
      <alignment vertical="center"/>
    </xf>
    <xf numFmtId="0" fontId="14" fillId="13" borderId="8" xfId="0" applyFont="1" applyFill="1" applyBorder="1" applyAlignment="1">
      <alignment vertical="center"/>
    </xf>
    <xf numFmtId="0" fontId="10" fillId="10" borderId="1" xfId="1" applyFont="1" applyFill="1" applyBorder="1" applyAlignment="1">
      <alignment vertical="top"/>
    </xf>
    <xf numFmtId="17" fontId="10" fillId="11" borderId="5" xfId="1" applyNumberFormat="1" applyFont="1" applyFill="1" applyBorder="1" applyAlignment="1">
      <alignment horizontal="right" vertical="top"/>
    </xf>
    <xf numFmtId="0" fontId="4" fillId="3" borderId="22" xfId="1" applyFont="1" applyFill="1" applyBorder="1" applyAlignment="1">
      <alignment vertical="top"/>
    </xf>
    <xf numFmtId="2" fontId="1" fillId="0" borderId="0" xfId="1" applyNumberFormat="1"/>
    <xf numFmtId="0" fontId="10" fillId="10" borderId="5" xfId="1" applyFont="1" applyFill="1" applyBorder="1" applyAlignment="1">
      <alignment vertical="top"/>
    </xf>
    <xf numFmtId="0" fontId="20" fillId="0" borderId="0" xfId="1" applyFont="1" applyAlignment="1">
      <alignment wrapText="1"/>
    </xf>
    <xf numFmtId="0" fontId="7" fillId="5" borderId="0" xfId="1" applyFont="1" applyFill="1" applyAlignment="1">
      <alignment horizontal="right" vertical="center" wrapText="1"/>
    </xf>
    <xf numFmtId="0" fontId="3" fillId="0" borderId="0" xfId="1" applyFont="1" applyAlignment="1">
      <alignment horizontal="left" vertical="top"/>
    </xf>
    <xf numFmtId="0" fontId="1" fillId="0" borderId="0" xfId="1"/>
    <xf numFmtId="0" fontId="4" fillId="3" borderId="39" xfId="1" applyFont="1" applyFill="1" applyBorder="1" applyAlignment="1">
      <alignment horizontal="left" vertical="top"/>
    </xf>
    <xf numFmtId="0" fontId="4" fillId="3" borderId="40" xfId="1" applyFont="1" applyFill="1" applyBorder="1" applyAlignment="1">
      <alignment horizontal="left" vertical="top"/>
    </xf>
    <xf numFmtId="0" fontId="4" fillId="3" borderId="25" xfId="1" applyFont="1" applyFill="1" applyBorder="1" applyAlignment="1">
      <alignment horizontal="left" vertical="top"/>
    </xf>
    <xf numFmtId="0" fontId="5" fillId="4" borderId="41" xfId="1" applyFont="1" applyFill="1" applyBorder="1" applyAlignment="1">
      <alignment horizontal="left" vertical="top" wrapText="1"/>
    </xf>
    <xf numFmtId="0" fontId="5" fillId="4" borderId="42" xfId="1" applyFont="1" applyFill="1" applyBorder="1" applyAlignment="1">
      <alignment horizontal="left" vertical="top" wrapText="1"/>
    </xf>
    <xf numFmtId="0" fontId="5" fillId="4" borderId="43" xfId="1" applyFont="1" applyFill="1" applyBorder="1" applyAlignment="1">
      <alignment horizontal="left" vertical="top"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4" fillId="3" borderId="5" xfId="1" applyFont="1" applyFill="1" applyBorder="1" applyAlignment="1">
      <alignment horizontal="left" vertical="top"/>
    </xf>
    <xf numFmtId="0" fontId="10" fillId="6" borderId="1" xfId="1" applyFont="1" applyFill="1" applyBorder="1" applyAlignment="1">
      <alignment horizontal="left" vertical="top"/>
    </xf>
    <xf numFmtId="0" fontId="10" fillId="6" borderId="9" xfId="1" applyFont="1" applyFill="1" applyBorder="1" applyAlignment="1">
      <alignment horizontal="left" vertical="top"/>
    </xf>
    <xf numFmtId="0" fontId="10" fillId="10" borderId="13" xfId="1" applyFont="1" applyFill="1" applyBorder="1" applyAlignment="1">
      <alignment horizontal="left" vertical="top" wrapText="1"/>
    </xf>
    <xf numFmtId="0" fontId="10" fillId="10" borderId="14" xfId="1" applyFont="1" applyFill="1" applyBorder="1" applyAlignment="1">
      <alignment horizontal="left" vertical="top" wrapText="1"/>
    </xf>
    <xf numFmtId="0" fontId="10" fillId="10" borderId="22" xfId="1" applyFont="1" applyFill="1" applyBorder="1" applyAlignment="1">
      <alignment horizontal="left" vertical="top" wrapText="1"/>
    </xf>
    <xf numFmtId="0" fontId="10" fillId="10" borderId="18" xfId="1" applyFont="1" applyFill="1" applyBorder="1" applyAlignment="1">
      <alignment horizontal="left" vertical="top" wrapText="1"/>
    </xf>
    <xf numFmtId="0" fontId="10" fillId="11" borderId="1" xfId="1" applyFont="1" applyFill="1" applyBorder="1" applyAlignment="1">
      <alignment horizontal="left" vertical="top"/>
    </xf>
    <xf numFmtId="0" fontId="10" fillId="11" borderId="2" xfId="1" applyFont="1" applyFill="1" applyBorder="1" applyAlignment="1">
      <alignment horizontal="left" vertical="top"/>
    </xf>
    <xf numFmtId="0" fontId="10" fillId="11" borderId="0" xfId="1" applyFont="1" applyFill="1" applyAlignment="1">
      <alignment horizontal="left" vertical="top"/>
    </xf>
    <xf numFmtId="0" fontId="10" fillId="11" borderId="22" xfId="1" applyFont="1" applyFill="1" applyBorder="1" applyAlignment="1">
      <alignment horizontal="left" vertical="top"/>
    </xf>
    <xf numFmtId="0" fontId="10" fillId="11" borderId="15" xfId="1" applyFont="1" applyFill="1" applyBorder="1" applyAlignment="1">
      <alignment horizontal="left" vertical="top"/>
    </xf>
    <xf numFmtId="0" fontId="10" fillId="11" borderId="24" xfId="1" applyFont="1" applyFill="1" applyBorder="1" applyAlignment="1">
      <alignment horizontal="left" vertical="top"/>
    </xf>
    <xf numFmtId="0" fontId="10" fillId="10" borderId="5" xfId="1" applyFont="1" applyFill="1" applyBorder="1" applyAlignment="1">
      <alignment horizontal="left" vertical="top" wrapText="1"/>
    </xf>
    <xf numFmtId="0" fontId="10" fillId="10" borderId="1" xfId="1" applyFont="1" applyFill="1" applyBorder="1" applyAlignment="1">
      <alignment horizontal="left" vertical="top" wrapText="1"/>
    </xf>
    <xf numFmtId="0" fontId="10" fillId="11" borderId="12" xfId="1" applyFont="1" applyFill="1" applyBorder="1" applyAlignment="1">
      <alignment horizontal="left" vertical="top"/>
    </xf>
    <xf numFmtId="0" fontId="10" fillId="11" borderId="5" xfId="1" applyFont="1" applyFill="1" applyBorder="1" applyAlignment="1">
      <alignment horizontal="left" vertical="top"/>
    </xf>
    <xf numFmtId="0" fontId="10" fillId="6" borderId="5" xfId="1" applyFont="1" applyFill="1" applyBorder="1" applyAlignment="1">
      <alignment horizontal="left" vertical="top"/>
    </xf>
    <xf numFmtId="0" fontId="10" fillId="10" borderId="5" xfId="1" applyFont="1" applyFill="1" applyBorder="1" applyAlignment="1">
      <alignment horizontal="left" vertical="top"/>
    </xf>
    <xf numFmtId="0" fontId="3" fillId="2" borderId="0" xfId="1" applyFont="1" applyFill="1" applyAlignment="1">
      <alignment horizontal="left" vertical="top"/>
    </xf>
    <xf numFmtId="0" fontId="4" fillId="3" borderId="0" xfId="1" applyFont="1" applyFill="1" applyAlignment="1">
      <alignment horizontal="left" vertical="top"/>
    </xf>
    <xf numFmtId="0" fontId="5" fillId="4" borderId="5" xfId="1" applyFont="1" applyFill="1" applyBorder="1" applyAlignment="1">
      <alignment horizontal="left" vertical="top" wrapText="1"/>
    </xf>
    <xf numFmtId="0" fontId="5" fillId="4" borderId="5" xfId="1" applyFont="1" applyFill="1" applyBorder="1" applyAlignment="1">
      <alignment horizontal="left" vertical="top"/>
    </xf>
    <xf numFmtId="0" fontId="5" fillId="4" borderId="1" xfId="1" applyFont="1" applyFill="1" applyBorder="1" applyAlignment="1">
      <alignment horizontal="left" vertical="top" wrapText="1"/>
    </xf>
    <xf numFmtId="0" fontId="5" fillId="4" borderId="2" xfId="1" applyFont="1" applyFill="1" applyBorder="1" applyAlignment="1">
      <alignment horizontal="left" vertical="top" wrapText="1"/>
    </xf>
    <xf numFmtId="0" fontId="5" fillId="4" borderId="3" xfId="1" applyFont="1" applyFill="1" applyBorder="1" applyAlignment="1">
      <alignment horizontal="left" vertical="top" wrapText="1"/>
    </xf>
    <xf numFmtId="0" fontId="10" fillId="6" borderId="13" xfId="1" applyFont="1" applyFill="1" applyBorder="1" applyAlignment="1">
      <alignment horizontal="left" vertical="top"/>
    </xf>
    <xf numFmtId="0" fontId="10" fillId="6" borderId="10" xfId="1" applyFont="1" applyFill="1" applyBorder="1" applyAlignment="1">
      <alignment horizontal="left" vertical="top"/>
    </xf>
    <xf numFmtId="0" fontId="10" fillId="10" borderId="1" xfId="1" applyFont="1" applyFill="1" applyBorder="1" applyAlignment="1">
      <alignment horizontal="left" vertical="top"/>
    </xf>
    <xf numFmtId="0" fontId="5" fillId="2" borderId="5" xfId="1" applyFont="1" applyFill="1" applyBorder="1" applyAlignment="1">
      <alignment horizontal="left" vertical="top"/>
    </xf>
    <xf numFmtId="0" fontId="5" fillId="2" borderId="1" xfId="1" applyFont="1" applyFill="1" applyBorder="1" applyAlignment="1">
      <alignment horizontal="left" vertical="top"/>
    </xf>
    <xf numFmtId="0" fontId="5" fillId="4" borderId="0" xfId="1" applyFont="1" applyFill="1" applyAlignment="1">
      <alignment horizontal="left" vertical="top" wrapText="1"/>
    </xf>
    <xf numFmtId="0" fontId="5" fillId="4" borderId="0" xfId="1" applyFont="1" applyFill="1" applyAlignment="1">
      <alignment horizontal="left" vertical="top"/>
    </xf>
    <xf numFmtId="0" fontId="4" fillId="3" borderId="12" xfId="1" applyFont="1" applyFill="1" applyBorder="1" applyAlignment="1">
      <alignment horizontal="left" vertical="top"/>
    </xf>
    <xf numFmtId="0" fontId="7" fillId="5" borderId="31" xfId="1" applyFont="1" applyFill="1" applyBorder="1" applyAlignment="1">
      <alignment horizontal="right" vertical="center" wrapText="1"/>
    </xf>
    <xf numFmtId="0" fontId="8" fillId="10" borderId="5" xfId="1" applyFont="1" applyFill="1" applyBorder="1" applyAlignment="1">
      <alignment horizontal="left" vertical="top"/>
    </xf>
    <xf numFmtId="0" fontId="8" fillId="10" borderId="1" xfId="1" applyFont="1" applyFill="1" applyBorder="1" applyAlignment="1">
      <alignment horizontal="left" vertical="top"/>
    </xf>
    <xf numFmtId="0" fontId="10" fillId="11" borderId="14" xfId="1" applyFont="1" applyFill="1" applyBorder="1" applyAlignment="1">
      <alignment horizontal="left" vertical="top"/>
    </xf>
    <xf numFmtId="0" fontId="10" fillId="11" borderId="18" xfId="1" applyFont="1" applyFill="1" applyBorder="1" applyAlignment="1">
      <alignment horizontal="left" vertical="top"/>
    </xf>
    <xf numFmtId="0" fontId="8" fillId="10" borderId="13" xfId="1" applyFont="1" applyFill="1" applyBorder="1" applyAlignment="1">
      <alignment horizontal="left" vertical="top"/>
    </xf>
    <xf numFmtId="0" fontId="8" fillId="10" borderId="22" xfId="1" applyFont="1" applyFill="1" applyBorder="1" applyAlignment="1">
      <alignment horizontal="left" vertical="top"/>
    </xf>
    <xf numFmtId="0" fontId="8" fillId="10" borderId="24" xfId="1" applyFont="1" applyFill="1" applyBorder="1" applyAlignment="1">
      <alignment horizontal="left" vertical="top"/>
    </xf>
    <xf numFmtId="0" fontId="4" fillId="3" borderId="22" xfId="1" applyFont="1" applyFill="1" applyBorder="1" applyAlignment="1">
      <alignment horizontal="left" vertical="top"/>
    </xf>
    <xf numFmtId="0" fontId="10" fillId="6" borderId="30" xfId="1" applyFont="1" applyFill="1" applyBorder="1" applyAlignment="1">
      <alignment horizontal="left" vertical="top"/>
    </xf>
    <xf numFmtId="0" fontId="10" fillId="6" borderId="12" xfId="1" applyFont="1" applyFill="1" applyBorder="1" applyAlignment="1">
      <alignment horizontal="left" vertical="top"/>
    </xf>
    <xf numFmtId="0" fontId="10" fillId="11" borderId="30" xfId="1" applyFont="1" applyFill="1" applyBorder="1" applyAlignment="1">
      <alignment horizontal="left" vertical="top"/>
    </xf>
    <xf numFmtId="0" fontId="10" fillId="11" borderId="23" xfId="1" applyFont="1" applyFill="1" applyBorder="1" applyAlignment="1">
      <alignment horizontal="left" vertical="top"/>
    </xf>
    <xf numFmtId="0" fontId="10" fillId="11" borderId="3" xfId="1" applyFont="1" applyFill="1" applyBorder="1" applyAlignment="1">
      <alignment horizontal="left" vertical="top"/>
    </xf>
    <xf numFmtId="0" fontId="10" fillId="11" borderId="4" xfId="1" applyFont="1" applyFill="1" applyBorder="1" applyAlignment="1">
      <alignment horizontal="left" vertical="top"/>
    </xf>
    <xf numFmtId="0" fontId="4" fillId="3" borderId="1" xfId="1" applyFont="1" applyFill="1" applyBorder="1" applyAlignment="1">
      <alignment horizontal="left" vertical="top"/>
    </xf>
    <xf numFmtId="0" fontId="4" fillId="3" borderId="2" xfId="1" applyFont="1" applyFill="1" applyBorder="1" applyAlignment="1">
      <alignment horizontal="left" vertical="top"/>
    </xf>
    <xf numFmtId="0" fontId="4" fillId="3" borderId="3" xfId="1" applyFont="1" applyFill="1" applyBorder="1" applyAlignment="1">
      <alignment horizontal="left" vertical="top"/>
    </xf>
    <xf numFmtId="0" fontId="7" fillId="5" borderId="31" xfId="1" applyFont="1" applyFill="1" applyBorder="1" applyAlignment="1">
      <alignment wrapText="1"/>
    </xf>
    <xf numFmtId="0" fontId="7" fillId="5" borderId="0" xfId="1" applyFont="1" applyFill="1" applyAlignment="1">
      <alignment wrapText="1"/>
    </xf>
  </cellXfs>
  <cellStyles count="2">
    <cellStyle name="Normal" xfId="0" builtinId="0"/>
    <cellStyle name="Normal 2" xfId="1" xr:uid="{235B7ED5-0683-4F21-A7F8-0C0E9EB095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G23"/>
  <sheetViews>
    <sheetView showGridLines="0" tabSelected="1" zoomScaleNormal="100" workbookViewId="0">
      <selection activeCell="C35" sqref="C35"/>
    </sheetView>
  </sheetViews>
  <sheetFormatPr defaultRowHeight="14.4" x14ac:dyDescent="0.3"/>
  <cols>
    <col min="1" max="1" width="3.88671875" customWidth="1"/>
    <col min="2" max="2" width="16.6640625" bestFit="1" customWidth="1"/>
    <col min="3" max="3" width="46.88671875" customWidth="1"/>
    <col min="4" max="4" width="16.21875" bestFit="1" customWidth="1"/>
    <col min="5" max="5" width="20.109375" bestFit="1" customWidth="1"/>
    <col min="6" max="6" width="22.44140625" bestFit="1" customWidth="1"/>
    <col min="7" max="7" width="23" bestFit="1" customWidth="1"/>
  </cols>
  <sheetData>
    <row r="1" spans="2:7" ht="13.8" customHeight="1" x14ac:dyDescent="0.3"/>
    <row r="2" spans="2:7" ht="19.95" customHeight="1" x14ac:dyDescent="0.35">
      <c r="B2" s="75"/>
      <c r="C2" s="76" t="s">
        <v>623</v>
      </c>
      <c r="D2" s="76"/>
      <c r="E2" s="76"/>
      <c r="F2" s="76"/>
      <c r="G2" s="76"/>
    </row>
    <row r="3" spans="2:7" ht="19.95" customHeight="1" x14ac:dyDescent="0.3">
      <c r="B3" s="91" t="s">
        <v>606</v>
      </c>
      <c r="C3" s="91" t="s">
        <v>0</v>
      </c>
      <c r="D3" s="92" t="s">
        <v>618</v>
      </c>
      <c r="E3" s="93" t="s">
        <v>619</v>
      </c>
      <c r="F3" s="93" t="s">
        <v>620</v>
      </c>
      <c r="G3" s="93" t="s">
        <v>621</v>
      </c>
    </row>
    <row r="4" spans="2:7" ht="19.95" customHeight="1" x14ac:dyDescent="0.35">
      <c r="B4" s="77" t="s">
        <v>3</v>
      </c>
      <c r="C4" s="78" t="s">
        <v>1</v>
      </c>
      <c r="D4" s="79">
        <f>Fuel!E9 / 1000</f>
        <v>0</v>
      </c>
      <c r="E4" s="80">
        <f>Fuel!F9 / 1000</f>
        <v>0</v>
      </c>
      <c r="F4" s="80">
        <f>Fuel!G9 / 1000</f>
        <v>0</v>
      </c>
      <c r="G4" s="80">
        <f>Fuel!H9 / 1000</f>
        <v>0</v>
      </c>
    </row>
    <row r="5" spans="2:7" ht="19.95" customHeight="1" x14ac:dyDescent="0.35">
      <c r="B5" s="77" t="s">
        <v>3</v>
      </c>
      <c r="C5" s="78" t="s">
        <v>2</v>
      </c>
      <c r="D5" s="79">
        <f>'Refrigerants &amp; other gases'!F121 / 1000</f>
        <v>0</v>
      </c>
      <c r="E5" s="84" t="s">
        <v>622</v>
      </c>
      <c r="F5" s="84" t="s">
        <v>622</v>
      </c>
      <c r="G5" s="84" t="s">
        <v>622</v>
      </c>
    </row>
    <row r="6" spans="2:7" ht="19.95" customHeight="1" x14ac:dyDescent="0.35">
      <c r="B6" s="81" t="s">
        <v>4</v>
      </c>
      <c r="C6" s="78" t="s">
        <v>608</v>
      </c>
      <c r="D6" s="79">
        <f>SUM('Purchased energy'!E20,'Purchased energy'!E16) / 1000</f>
        <v>0</v>
      </c>
      <c r="E6" s="80">
        <f>SUM('Purchased energy'!F20,'Purchased energy'!F16) / 1000</f>
        <v>0</v>
      </c>
      <c r="F6" s="80">
        <f>SUM('Purchased energy'!G20,'Purchased energy'!G16) / 1000</f>
        <v>0</v>
      </c>
      <c r="G6" s="80">
        <f>SUM('Purchased energy'!H20,'Purchased energy'!H16) / 1000</f>
        <v>0</v>
      </c>
    </row>
    <row r="7" spans="2:7" ht="19.95" customHeight="1" x14ac:dyDescent="0.35">
      <c r="B7" s="82"/>
      <c r="C7" s="82"/>
      <c r="D7" s="82"/>
      <c r="E7" s="82"/>
      <c r="F7" s="82"/>
      <c r="G7" s="82"/>
    </row>
    <row r="8" spans="2:7" ht="19.95" customHeight="1" x14ac:dyDescent="0.35">
      <c r="B8" s="82"/>
      <c r="C8" s="82"/>
      <c r="D8" s="82"/>
      <c r="E8" s="82"/>
      <c r="F8" s="82"/>
      <c r="G8" s="82"/>
    </row>
    <row r="9" spans="2:7" ht="19.95" customHeight="1" x14ac:dyDescent="0.35">
      <c r="B9" s="82"/>
      <c r="C9" s="76" t="s">
        <v>617</v>
      </c>
      <c r="D9" s="76"/>
      <c r="E9" s="76"/>
      <c r="F9" s="76"/>
      <c r="G9" s="76"/>
    </row>
    <row r="10" spans="2:7" ht="19.95" customHeight="1" x14ac:dyDescent="0.35">
      <c r="B10" s="83" t="s">
        <v>5</v>
      </c>
      <c r="C10" s="78" t="s">
        <v>607</v>
      </c>
      <c r="D10" s="79">
        <f>SUM('T&amp;D losses'!F12, 'T&amp;D losses'!F16) / 1000</f>
        <v>0</v>
      </c>
      <c r="E10" s="84">
        <f>SUM('T&amp;D losses'!G12, 'T&amp;D losses'!G16) / 1000</f>
        <v>0</v>
      </c>
      <c r="F10" s="84">
        <f>SUM('T&amp;D losses'!H12, 'T&amp;D losses'!H16) / 1000</f>
        <v>0</v>
      </c>
      <c r="G10" s="84">
        <f>SUM('T&amp;D losses'!I12, 'T&amp;D losses'!I16) / 1000</f>
        <v>0</v>
      </c>
    </row>
    <row r="11" spans="2:7" ht="19.95" customHeight="1" x14ac:dyDescent="0.35">
      <c r="B11" s="83" t="s">
        <v>5</v>
      </c>
      <c r="C11" s="78" t="s">
        <v>609</v>
      </c>
      <c r="D11" s="79">
        <f>'Working from home'!E13 / 1000</f>
        <v>0</v>
      </c>
      <c r="E11" s="80">
        <f>'Working from home'!F13 / 1000</f>
        <v>0</v>
      </c>
      <c r="F11" s="80">
        <f>'Working from home'!G13 / 1000</f>
        <v>0</v>
      </c>
      <c r="G11" s="80">
        <f>'Working from home'!H13 / 1000</f>
        <v>0</v>
      </c>
    </row>
    <row r="12" spans="2:7" ht="19.95" customHeight="1" x14ac:dyDescent="0.35">
      <c r="B12" s="83" t="s">
        <v>5</v>
      </c>
      <c r="C12" s="78" t="s">
        <v>6</v>
      </c>
      <c r="D12" s="79">
        <f>'Passenger transport'!E9 / 1000</f>
        <v>0</v>
      </c>
      <c r="E12" s="80">
        <f>'Passenger transport'!F9 / 1000</f>
        <v>0</v>
      </c>
      <c r="F12" s="80">
        <f>'Passenger transport'!G9 / 1000</f>
        <v>0</v>
      </c>
      <c r="G12" s="80">
        <f>'Passenger transport'!H9 / 1000</f>
        <v>0</v>
      </c>
    </row>
    <row r="13" spans="2:7" ht="19.95" customHeight="1" x14ac:dyDescent="0.35">
      <c r="B13" s="83" t="s">
        <v>5</v>
      </c>
      <c r="C13" s="78" t="s">
        <v>610</v>
      </c>
      <c r="D13" s="79">
        <f>'Freight transport'!E9 / 1000</f>
        <v>0</v>
      </c>
      <c r="E13" s="80">
        <f>'Freight transport'!F9 / 1000</f>
        <v>0</v>
      </c>
      <c r="F13" s="80">
        <f>'Freight transport'!G9 / 1000</f>
        <v>0</v>
      </c>
      <c r="G13" s="80">
        <f>'Freight transport'!H9 / 1000</f>
        <v>0</v>
      </c>
    </row>
    <row r="14" spans="2:7" ht="19.95" customHeight="1" x14ac:dyDescent="0.35">
      <c r="B14" s="83" t="s">
        <v>5</v>
      </c>
      <c r="C14" s="78" t="s">
        <v>611</v>
      </c>
      <c r="D14" s="79">
        <f>'Water supply &amp; Wastewater treat'!E9 /1000</f>
        <v>0</v>
      </c>
      <c r="E14" s="80">
        <f>'Water supply &amp; Wastewater treat'!F9 / 1000</f>
        <v>0</v>
      </c>
      <c r="F14" s="80">
        <f>'Water supply &amp; Wastewater treat'!G9 / 1000</f>
        <v>0</v>
      </c>
      <c r="G14" s="80">
        <f>'Water supply &amp; Wastewater treat'!H9 / 1000</f>
        <v>0</v>
      </c>
    </row>
    <row r="15" spans="2:7" ht="19.95" customHeight="1" x14ac:dyDescent="0.35">
      <c r="B15" s="83" t="s">
        <v>5</v>
      </c>
      <c r="C15" s="78" t="s">
        <v>612</v>
      </c>
      <c r="D15" s="79">
        <f>Waste!E9 / 1000</f>
        <v>0</v>
      </c>
      <c r="E15" s="80">
        <f>Waste!F9 / 1000</f>
        <v>0</v>
      </c>
      <c r="F15" s="80">
        <f>Waste!G9 /1000</f>
        <v>0</v>
      </c>
      <c r="G15" s="80">
        <f>Waste!H9 /1000</f>
        <v>0</v>
      </c>
    </row>
    <row r="16" spans="2:7" ht="19.95" customHeight="1" x14ac:dyDescent="0.35">
      <c r="B16" s="82"/>
      <c r="C16" s="82"/>
      <c r="D16" s="82"/>
      <c r="E16" s="82"/>
      <c r="F16" s="82"/>
      <c r="G16" s="82"/>
    </row>
    <row r="17" spans="2:7" ht="19.95" customHeight="1" x14ac:dyDescent="0.35">
      <c r="B17" s="82"/>
      <c r="C17" s="82"/>
      <c r="D17" s="82"/>
      <c r="E17" s="82"/>
      <c r="F17" s="82"/>
      <c r="G17" s="82"/>
    </row>
    <row r="18" spans="2:7" ht="19.95" customHeight="1" x14ac:dyDescent="0.35">
      <c r="B18" s="82"/>
      <c r="C18" s="85" t="s">
        <v>613</v>
      </c>
      <c r="D18" s="86">
        <f>SUM(D10:D15,D4:D6)</f>
        <v>0</v>
      </c>
      <c r="E18" s="86">
        <f t="shared" ref="E18:G18" si="0">SUM(E10:E15,E4:E6)</f>
        <v>0</v>
      </c>
      <c r="F18" s="86">
        <f t="shared" si="0"/>
        <v>0</v>
      </c>
      <c r="G18" s="86">
        <f t="shared" si="0"/>
        <v>0</v>
      </c>
    </row>
    <row r="19" spans="2:7" ht="19.95" customHeight="1" x14ac:dyDescent="0.35">
      <c r="B19" s="82"/>
      <c r="C19" s="87" t="s">
        <v>614</v>
      </c>
      <c r="D19" s="88">
        <f>SUM(D4:D5)</f>
        <v>0</v>
      </c>
      <c r="E19" s="80">
        <f t="shared" ref="E19:G19" si="1">SUM(E4:E5)</f>
        <v>0</v>
      </c>
      <c r="F19" s="80">
        <f t="shared" si="1"/>
        <v>0</v>
      </c>
      <c r="G19" s="80">
        <f t="shared" si="1"/>
        <v>0</v>
      </c>
    </row>
    <row r="20" spans="2:7" ht="19.95" customHeight="1" x14ac:dyDescent="0.35">
      <c r="B20" s="82"/>
      <c r="C20" s="89" t="s">
        <v>615</v>
      </c>
      <c r="D20" s="88">
        <f>D6</f>
        <v>0</v>
      </c>
      <c r="E20" s="80">
        <f t="shared" ref="E20:G20" si="2">E6</f>
        <v>0</v>
      </c>
      <c r="F20" s="80">
        <f t="shared" si="2"/>
        <v>0</v>
      </c>
      <c r="G20" s="80">
        <f t="shared" si="2"/>
        <v>0</v>
      </c>
    </row>
    <row r="21" spans="2:7" ht="19.95" customHeight="1" x14ac:dyDescent="0.35">
      <c r="B21" s="82"/>
      <c r="C21" s="90" t="s">
        <v>616</v>
      </c>
      <c r="D21" s="88">
        <f>SUM(D10:D15)</f>
        <v>0</v>
      </c>
      <c r="E21" s="80">
        <f t="shared" ref="E21:G21" si="3">SUM(E10:E15)</f>
        <v>0</v>
      </c>
      <c r="F21" s="80">
        <f t="shared" si="3"/>
        <v>0</v>
      </c>
      <c r="G21" s="80">
        <f t="shared" si="3"/>
        <v>0</v>
      </c>
    </row>
    <row r="23" spans="2:7" x14ac:dyDescent="0.3">
      <c r="D23" t="s">
        <v>635</v>
      </c>
    </row>
  </sheetData>
  <sortState xmlns:xlrd2="http://schemas.microsoft.com/office/spreadsheetml/2017/richdata2" ref="B4:C12">
    <sortCondition ref="B4:B12"/>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B3B9-CE91-4D6A-B44D-7552EA7787F6}">
  <sheetPr>
    <tabColor theme="4" tint="0.39997558519241921"/>
  </sheetPr>
  <dimension ref="A1:U331"/>
  <sheetViews>
    <sheetView showGridLines="0" workbookViewId="0">
      <selection activeCell="A6" sqref="A6:J6"/>
    </sheetView>
  </sheetViews>
  <sheetFormatPr defaultColWidth="11.44140625" defaultRowHeight="14.4" x14ac:dyDescent="0.3"/>
  <cols>
    <col min="1" max="1" width="37.5546875" style="2" customWidth="1"/>
    <col min="2" max="2" width="35.6640625" style="2" customWidth="1"/>
    <col min="3" max="3" width="14.88671875" style="2" customWidth="1"/>
    <col min="4" max="4" width="15" style="2" customWidth="1"/>
    <col min="5" max="8" width="17" style="2" customWidth="1"/>
    <col min="9" max="9" width="45.44140625" style="2" customWidth="1"/>
    <col min="10" max="10" width="12.33203125" style="2" customWidth="1"/>
    <col min="11" max="11" width="14.6640625" style="2" customWidth="1"/>
    <col min="12" max="12" width="11.44140625" style="2" bestFit="1" customWidth="1"/>
    <col min="13" max="100" width="10.6640625" style="2" customWidth="1"/>
    <col min="101" max="16384" width="11.44140625" style="2"/>
  </cols>
  <sheetData>
    <row r="1" spans="1:21" ht="31.2" x14ac:dyDescent="0.3">
      <c r="A1" s="1" t="s">
        <v>7</v>
      </c>
    </row>
    <row r="2" spans="1:21" ht="23.4" x14ac:dyDescent="0.3">
      <c r="A2" s="130" t="s">
        <v>305</v>
      </c>
      <c r="B2" s="102"/>
      <c r="C2" s="102"/>
      <c r="D2" s="102"/>
      <c r="E2" s="102"/>
      <c r="F2" s="102"/>
      <c r="G2" s="102"/>
      <c r="H2" s="102"/>
      <c r="I2" s="102"/>
      <c r="J2" s="102"/>
      <c r="K2" s="102"/>
      <c r="L2" s="102"/>
      <c r="M2" s="102"/>
      <c r="N2" s="102"/>
      <c r="O2" s="102"/>
      <c r="P2" s="102"/>
      <c r="Q2" s="102"/>
      <c r="R2" s="102"/>
      <c r="S2" s="102"/>
      <c r="T2" s="102"/>
      <c r="U2" s="102"/>
    </row>
    <row r="4" spans="1:21" ht="31.2" x14ac:dyDescent="0.3">
      <c r="A4" s="1" t="s">
        <v>306</v>
      </c>
    </row>
    <row r="5" spans="1:21" x14ac:dyDescent="0.3">
      <c r="A5" s="131" t="s">
        <v>10</v>
      </c>
      <c r="B5" s="131"/>
      <c r="C5" s="131"/>
      <c r="D5" s="131"/>
      <c r="E5" s="131"/>
      <c r="F5" s="131"/>
      <c r="G5" s="131"/>
      <c r="H5" s="131"/>
      <c r="I5" s="131"/>
      <c r="J5" s="131"/>
    </row>
    <row r="6" spans="1:21" ht="129.6" customHeight="1" x14ac:dyDescent="0.3">
      <c r="A6" s="132" t="s">
        <v>636</v>
      </c>
      <c r="B6" s="133"/>
      <c r="C6" s="133"/>
      <c r="D6" s="133"/>
      <c r="E6" s="133"/>
      <c r="F6" s="133"/>
      <c r="G6" s="133"/>
      <c r="H6" s="133"/>
      <c r="I6" s="133"/>
      <c r="J6" s="133"/>
    </row>
    <row r="8" spans="1:21" x14ac:dyDescent="0.3">
      <c r="A8" s="145" t="s">
        <v>307</v>
      </c>
      <c r="B8" s="145"/>
      <c r="C8" s="58"/>
      <c r="D8" s="58"/>
      <c r="E8" s="4" t="s">
        <v>12</v>
      </c>
      <c r="F8" s="4" t="s">
        <v>13</v>
      </c>
      <c r="G8" s="4" t="s">
        <v>14</v>
      </c>
      <c r="H8" s="4" t="s">
        <v>15</v>
      </c>
    </row>
    <row r="9" spans="1:21" x14ac:dyDescent="0.3">
      <c r="A9" s="100"/>
      <c r="B9" s="100"/>
      <c r="C9" s="58"/>
      <c r="D9" s="58"/>
      <c r="E9" s="59">
        <f>SUM(E20,E51,E114,E177,E205,E218,E226,E234,E248,E262,E271,E331)</f>
        <v>0</v>
      </c>
      <c r="F9" s="60">
        <f>SUM(F20,F51,F114,F177,F205,F218,F226,F234,F248,F262,F271)</f>
        <v>0</v>
      </c>
      <c r="G9" s="60">
        <f>SUM(G20,G51,G114,G177,G205,G218,G226,G234,G248,G262,G271)</f>
        <v>0</v>
      </c>
      <c r="H9" s="60">
        <f>SUM(H20,H51,H114,H177,H205,H218,H226,H234,H248,H262,H271)</f>
        <v>0</v>
      </c>
    </row>
    <row r="11" spans="1:21" ht="15" thickBot="1" x14ac:dyDescent="0.35">
      <c r="A11" s="111" t="s">
        <v>308</v>
      </c>
      <c r="B11" s="111"/>
      <c r="C11" s="111"/>
      <c r="D11" s="111"/>
      <c r="E11" s="111"/>
      <c r="F11" s="111"/>
      <c r="G11" s="111"/>
      <c r="H11" s="111"/>
      <c r="I11" s="111"/>
      <c r="J11" s="111"/>
    </row>
    <row r="12" spans="1:21" ht="15" thickBot="1" x14ac:dyDescent="0.35">
      <c r="A12" s="128" t="s">
        <v>18</v>
      </c>
      <c r="B12" s="112"/>
      <c r="C12" s="39" t="s">
        <v>19</v>
      </c>
      <c r="D12" s="51" t="s">
        <v>20</v>
      </c>
      <c r="E12" s="32" t="s">
        <v>12</v>
      </c>
      <c r="F12" s="32" t="s">
        <v>13</v>
      </c>
      <c r="G12" s="32" t="s">
        <v>14</v>
      </c>
      <c r="H12" s="32" t="s">
        <v>15</v>
      </c>
      <c r="I12" s="30" t="s">
        <v>309</v>
      </c>
      <c r="J12" s="30" t="s">
        <v>21</v>
      </c>
    </row>
    <row r="13" spans="1:21" x14ac:dyDescent="0.3">
      <c r="A13" s="129" t="s">
        <v>310</v>
      </c>
      <c r="B13" s="13" t="s">
        <v>311</v>
      </c>
      <c r="C13" s="23" t="s">
        <v>312</v>
      </c>
      <c r="D13" s="15"/>
      <c r="E13" s="16">
        <f t="shared" ref="E13:E19" si="0">F13 + G13 + H13</f>
        <v>0</v>
      </c>
      <c r="F13" s="17">
        <f>D13 * 0.153</f>
        <v>0</v>
      </c>
      <c r="G13" s="17">
        <f>D13 * 0.000125</f>
        <v>0</v>
      </c>
      <c r="H13" s="17">
        <f>D13 * 0.002125</f>
        <v>0</v>
      </c>
      <c r="I13" s="13" t="s">
        <v>313</v>
      </c>
      <c r="J13" s="13" t="s">
        <v>58</v>
      </c>
    </row>
    <row r="14" spans="1:21" x14ac:dyDescent="0.3">
      <c r="A14" s="129"/>
      <c r="B14" s="13" t="s">
        <v>314</v>
      </c>
      <c r="C14" s="23" t="s">
        <v>312</v>
      </c>
      <c r="D14" s="42"/>
      <c r="E14" s="16">
        <f t="shared" si="0"/>
        <v>0</v>
      </c>
      <c r="F14" s="17">
        <f>D14 * 0.012</f>
        <v>0</v>
      </c>
      <c r="G14" s="17">
        <f>D14 * 0.0004</f>
        <v>0</v>
      </c>
      <c r="H14" s="17">
        <f>D14 * 0.000017164</f>
        <v>0</v>
      </c>
      <c r="I14" s="13" t="s">
        <v>313</v>
      </c>
      <c r="J14" s="13" t="s">
        <v>58</v>
      </c>
    </row>
    <row r="15" spans="1:21" x14ac:dyDescent="0.3">
      <c r="A15" s="129"/>
      <c r="B15" s="13" t="s">
        <v>315</v>
      </c>
      <c r="C15" s="23" t="s">
        <v>312</v>
      </c>
      <c r="D15" s="42"/>
      <c r="E15" s="16">
        <f t="shared" si="0"/>
        <v>0</v>
      </c>
      <c r="F15" s="17">
        <f>D15 * 0.06</f>
        <v>0</v>
      </c>
      <c r="G15" s="17">
        <f>D15 * 0.00005</f>
        <v>0</v>
      </c>
      <c r="H15" s="17">
        <f>D15 * 0.0009</f>
        <v>0</v>
      </c>
      <c r="I15" s="13" t="s">
        <v>313</v>
      </c>
      <c r="J15" s="13" t="s">
        <v>58</v>
      </c>
    </row>
    <row r="16" spans="1:21" x14ac:dyDescent="0.3">
      <c r="A16" s="129"/>
      <c r="B16" s="13" t="s">
        <v>316</v>
      </c>
      <c r="C16" s="23" t="s">
        <v>312</v>
      </c>
      <c r="D16" s="42"/>
      <c r="E16" s="16">
        <f t="shared" si="0"/>
        <v>0</v>
      </c>
      <c r="F16" s="17">
        <f>D16 * 0.036</f>
        <v>0</v>
      </c>
      <c r="G16" s="17">
        <f>D16 * 0.000125</f>
        <v>0</v>
      </c>
      <c r="H16" s="17">
        <f>D16 * 0.000125</f>
        <v>0</v>
      </c>
      <c r="I16" s="13" t="s">
        <v>313</v>
      </c>
      <c r="J16" s="13" t="s">
        <v>58</v>
      </c>
    </row>
    <row r="17" spans="1:10" x14ac:dyDescent="0.3">
      <c r="A17" s="129" t="s">
        <v>317</v>
      </c>
      <c r="B17" s="13" t="s">
        <v>318</v>
      </c>
      <c r="C17" s="23" t="s">
        <v>312</v>
      </c>
      <c r="D17" s="42"/>
      <c r="E17" s="16">
        <f t="shared" si="0"/>
        <v>0</v>
      </c>
      <c r="F17" s="17">
        <f>D17 * 0.013</f>
        <v>0</v>
      </c>
      <c r="G17" s="17">
        <f>D17 * 0.00001</f>
        <v>0</v>
      </c>
      <c r="H17" s="17">
        <f>D17 * 0.0000001</f>
        <v>0</v>
      </c>
      <c r="I17" s="13" t="s">
        <v>313</v>
      </c>
      <c r="J17" s="13" t="s">
        <v>58</v>
      </c>
    </row>
    <row r="18" spans="1:10" x14ac:dyDescent="0.3">
      <c r="A18" s="129"/>
      <c r="B18" s="13" t="s">
        <v>319</v>
      </c>
      <c r="C18" s="23" t="s">
        <v>312</v>
      </c>
      <c r="D18" s="42"/>
      <c r="E18" s="16">
        <f t="shared" si="0"/>
        <v>0</v>
      </c>
      <c r="F18" s="17">
        <f>D18 * 0.045</f>
        <v>0</v>
      </c>
      <c r="G18" s="17">
        <f>D18 * 0.00006</f>
        <v>0</v>
      </c>
      <c r="H18" s="17">
        <f>D18 * 0.0007</f>
        <v>0</v>
      </c>
      <c r="I18" s="13" t="s">
        <v>313</v>
      </c>
      <c r="J18" s="13" t="s">
        <v>58</v>
      </c>
    </row>
    <row r="19" spans="1:10" ht="15" thickBot="1" x14ac:dyDescent="0.35">
      <c r="A19" s="129"/>
      <c r="B19" s="13" t="s">
        <v>320</v>
      </c>
      <c r="C19" s="23" t="s">
        <v>312</v>
      </c>
      <c r="D19" s="43"/>
      <c r="E19" s="61">
        <f t="shared" si="0"/>
        <v>0</v>
      </c>
      <c r="F19" s="47">
        <f>D19 * 0.019</f>
        <v>0</v>
      </c>
      <c r="G19" s="47">
        <f>D19 * 0.00002</f>
        <v>0</v>
      </c>
      <c r="H19" s="47">
        <f>D19 * 0.0001</f>
        <v>0</v>
      </c>
      <c r="I19" s="13" t="s">
        <v>313</v>
      </c>
      <c r="J19" s="13" t="s">
        <v>58</v>
      </c>
    </row>
    <row r="20" spans="1:10" x14ac:dyDescent="0.3">
      <c r="B20" s="26"/>
      <c r="C20" s="26"/>
      <c r="D20" s="27" t="s">
        <v>39</v>
      </c>
      <c r="E20" s="28">
        <f>SUM(E13:E19)</f>
        <v>0</v>
      </c>
      <c r="F20" s="29">
        <f>SUM(F13:F19)</f>
        <v>0</v>
      </c>
      <c r="G20" s="29">
        <f>SUM(G13:G19)</f>
        <v>0</v>
      </c>
      <c r="H20" s="29">
        <f>SUM(H13:H19)</f>
        <v>0</v>
      </c>
      <c r="I20" s="26"/>
      <c r="J20" s="26"/>
    </row>
    <row r="22" spans="1:10" ht="15" thickBot="1" x14ac:dyDescent="0.35">
      <c r="A22" s="111" t="s">
        <v>321</v>
      </c>
      <c r="B22" s="111"/>
      <c r="C22" s="111"/>
      <c r="D22" s="111"/>
      <c r="E22" s="111"/>
      <c r="F22" s="111"/>
      <c r="G22" s="111"/>
      <c r="H22" s="111"/>
    </row>
    <row r="23" spans="1:10" ht="15" thickBot="1" x14ac:dyDescent="0.35">
      <c r="A23" s="128" t="s">
        <v>322</v>
      </c>
      <c r="B23" s="112"/>
      <c r="C23" s="39" t="s">
        <v>19</v>
      </c>
      <c r="D23" s="11" t="s">
        <v>20</v>
      </c>
      <c r="E23" s="32" t="s">
        <v>12</v>
      </c>
      <c r="F23" s="32" t="s">
        <v>13</v>
      </c>
      <c r="G23" s="32" t="s">
        <v>14</v>
      </c>
      <c r="H23" s="32" t="s">
        <v>15</v>
      </c>
    </row>
    <row r="24" spans="1:10" ht="15" thickBot="1" x14ac:dyDescent="0.35">
      <c r="A24" s="146" t="s">
        <v>18</v>
      </c>
      <c r="B24" s="126" t="s">
        <v>323</v>
      </c>
      <c r="C24" s="127"/>
      <c r="D24" s="127"/>
      <c r="E24" s="127"/>
      <c r="F24" s="127"/>
      <c r="G24" s="127"/>
      <c r="H24" s="127"/>
    </row>
    <row r="25" spans="1:10" x14ac:dyDescent="0.3">
      <c r="A25" s="147"/>
      <c r="B25" s="13" t="s">
        <v>324</v>
      </c>
      <c r="C25" s="23" t="s">
        <v>325</v>
      </c>
      <c r="D25" s="15"/>
      <c r="E25" s="16">
        <f>F25 + G25 + H25</f>
        <v>0</v>
      </c>
      <c r="F25" s="17">
        <f>D25 * 0.1864291882</f>
        <v>0</v>
      </c>
      <c r="G25" s="17">
        <f>D25 * 0.0024507945</f>
        <v>0</v>
      </c>
      <c r="H25" s="17">
        <f>D25 * 0.0056230349</f>
        <v>0</v>
      </c>
    </row>
    <row r="26" spans="1:10" x14ac:dyDescent="0.3">
      <c r="A26" s="147"/>
      <c r="B26" s="13" t="s">
        <v>326</v>
      </c>
      <c r="C26" s="23" t="s">
        <v>325</v>
      </c>
      <c r="D26" s="42"/>
      <c r="E26" s="16">
        <f>F26 + G26 + H26</f>
        <v>0</v>
      </c>
      <c r="F26" s="17">
        <f>D26 * 0.1929441867</f>
        <v>0</v>
      </c>
      <c r="G26" s="17">
        <f>D26 * 0.0025364405</f>
        <v>0</v>
      </c>
      <c r="H26" s="17">
        <f>D26 * 0.0058195388</f>
        <v>0</v>
      </c>
    </row>
    <row r="27" spans="1:10" x14ac:dyDescent="0.3">
      <c r="A27" s="147"/>
      <c r="B27" s="13" t="s">
        <v>327</v>
      </c>
      <c r="C27" s="23" t="s">
        <v>325</v>
      </c>
      <c r="D27" s="42"/>
      <c r="E27" s="16">
        <f>F27 + G27 + H27</f>
        <v>0</v>
      </c>
      <c r="F27" s="17">
        <f>D27 * 0.2172501427</f>
        <v>0</v>
      </c>
      <c r="G27" s="17">
        <f>D27 * 0.0028559661</f>
        <v>0</v>
      </c>
      <c r="H27" s="17">
        <f>D27 * 0.0065526496</f>
        <v>0</v>
      </c>
    </row>
    <row r="28" spans="1:10" x14ac:dyDescent="0.3">
      <c r="A28" s="147"/>
      <c r="B28" s="13" t="s">
        <v>328</v>
      </c>
      <c r="C28" s="23" t="s">
        <v>325</v>
      </c>
      <c r="D28" s="42"/>
      <c r="E28" s="16">
        <f>F28 + G28 + H28</f>
        <v>0</v>
      </c>
      <c r="F28" s="17">
        <f>D28 * 0.2413055218</f>
        <v>0</v>
      </c>
      <c r="G28" s="17">
        <f>D28 * 0.0031721977</f>
        <v>0</v>
      </c>
      <c r="H28" s="17">
        <f>D28 * 0.0072782025</f>
        <v>0</v>
      </c>
    </row>
    <row r="29" spans="1:10" ht="15" thickBot="1" x14ac:dyDescent="0.35">
      <c r="A29" s="147"/>
      <c r="B29" s="13" t="s">
        <v>329</v>
      </c>
      <c r="C29" s="23" t="s">
        <v>325</v>
      </c>
      <c r="D29" s="43"/>
      <c r="E29" s="16">
        <f>F29 + G29 + H29</f>
        <v>0</v>
      </c>
      <c r="F29" s="17">
        <f>D29 * 0.2886645495</f>
        <v>0</v>
      </c>
      <c r="G29" s="17">
        <f>D29 * 0.0037947785</f>
        <v>0</v>
      </c>
      <c r="H29" s="17">
        <f>D29 * 0.0087066347</f>
        <v>0</v>
      </c>
    </row>
    <row r="30" spans="1:10" ht="15" thickBot="1" x14ac:dyDescent="0.35">
      <c r="A30" s="146"/>
      <c r="B30" s="148" t="s">
        <v>330</v>
      </c>
      <c r="C30" s="127"/>
      <c r="D30" s="127"/>
      <c r="E30" s="127"/>
      <c r="F30" s="127"/>
      <c r="G30" s="127"/>
      <c r="H30" s="127"/>
    </row>
    <row r="31" spans="1:10" x14ac:dyDescent="0.3">
      <c r="A31" s="147"/>
      <c r="B31" s="13" t="s">
        <v>324</v>
      </c>
      <c r="C31" s="23" t="s">
        <v>325</v>
      </c>
      <c r="D31" s="15"/>
      <c r="E31" s="16">
        <f>F31 + G31 + H31</f>
        <v>0</v>
      </c>
      <c r="F31" s="17">
        <f>D31 * 0.2107576414</f>
        <v>0</v>
      </c>
      <c r="G31" s="17">
        <f>D31 * 0.0003148387</f>
        <v>0</v>
      </c>
      <c r="H31" s="17">
        <f>D31 * 0.0029797231</f>
        <v>0</v>
      </c>
    </row>
    <row r="32" spans="1:10" x14ac:dyDescent="0.3">
      <c r="A32" s="147"/>
      <c r="B32" s="13" t="s">
        <v>326</v>
      </c>
      <c r="C32" s="23" t="s">
        <v>325</v>
      </c>
      <c r="D32" s="42"/>
      <c r="E32" s="16">
        <f>F32 + G32 + H32</f>
        <v>0</v>
      </c>
      <c r="F32" s="17">
        <f>D32 * 0.202814985</f>
        <v>0</v>
      </c>
      <c r="G32" s="17">
        <f>D32 * 0.0003029736</f>
        <v>0</v>
      </c>
      <c r="H32" s="17">
        <f>D32 * 0.0028674286</f>
        <v>0</v>
      </c>
    </row>
    <row r="33" spans="1:8" x14ac:dyDescent="0.3">
      <c r="A33" s="147"/>
      <c r="B33" s="13" t="s">
        <v>327</v>
      </c>
      <c r="C33" s="23" t="s">
        <v>325</v>
      </c>
      <c r="D33" s="42"/>
      <c r="E33" s="16">
        <f>F33 + G33 + H33</f>
        <v>0</v>
      </c>
      <c r="F33" s="17">
        <f>D33 * 0.2149602596</f>
        <v>0</v>
      </c>
      <c r="G33" s="17">
        <f>D33 * 0.0003211167</f>
        <v>0</v>
      </c>
      <c r="H33" s="17">
        <f>D33 * 0.0030391404</f>
        <v>0</v>
      </c>
    </row>
    <row r="34" spans="1:8" x14ac:dyDescent="0.3">
      <c r="A34" s="147"/>
      <c r="B34" s="13" t="s">
        <v>331</v>
      </c>
      <c r="C34" s="23" t="s">
        <v>325</v>
      </c>
      <c r="D34" s="42"/>
      <c r="E34" s="16">
        <f>F34 + G34 + H34</f>
        <v>0</v>
      </c>
      <c r="F34" s="17">
        <f>D34 * 0.2642671711</f>
        <v>0</v>
      </c>
      <c r="G34" s="17">
        <f>D34 * 0.0003947735</f>
        <v>0</v>
      </c>
      <c r="H34" s="17">
        <f>D34 * 0.0037362489</f>
        <v>0</v>
      </c>
    </row>
    <row r="35" spans="1:8" ht="15" thickBot="1" x14ac:dyDescent="0.35">
      <c r="A35" s="147"/>
      <c r="B35" s="13" t="s">
        <v>329</v>
      </c>
      <c r="C35" s="23" t="s">
        <v>325</v>
      </c>
      <c r="D35" s="43"/>
      <c r="E35" s="16">
        <f>F35 + G35 + H35</f>
        <v>0</v>
      </c>
      <c r="F35" s="17">
        <f>D35 * 0.2931431521</f>
        <v>0</v>
      </c>
      <c r="G35" s="17">
        <f>D35 * 0.0004379096</f>
        <v>0</v>
      </c>
      <c r="H35" s="17">
        <f>D35 * 0.0041445018</f>
        <v>0</v>
      </c>
    </row>
    <row r="36" spans="1:8" ht="15" thickBot="1" x14ac:dyDescent="0.35">
      <c r="A36" s="146"/>
      <c r="B36" s="148" t="s">
        <v>332</v>
      </c>
      <c r="C36" s="127"/>
      <c r="D36" s="127"/>
      <c r="E36" s="127"/>
      <c r="F36" s="127"/>
      <c r="G36" s="127"/>
      <c r="H36" s="127"/>
    </row>
    <row r="37" spans="1:8" x14ac:dyDescent="0.3">
      <c r="A37" s="147"/>
      <c r="B37" s="13" t="s">
        <v>324</v>
      </c>
      <c r="C37" s="23" t="s">
        <v>325</v>
      </c>
      <c r="D37" s="15"/>
      <c r="E37" s="16">
        <f>F37 + G37 + H37</f>
        <v>0</v>
      </c>
      <c r="F37" s="17">
        <f>D37 * 0.147180938</f>
        <v>0</v>
      </c>
      <c r="G37" s="17">
        <f>D37 * 0.0019348377</f>
        <v>0</v>
      </c>
      <c r="H37" s="17">
        <f>D37 * 0.0044392381</f>
        <v>0</v>
      </c>
    </row>
    <row r="38" spans="1:8" x14ac:dyDescent="0.3">
      <c r="A38" s="147"/>
      <c r="B38" s="13" t="s">
        <v>326</v>
      </c>
      <c r="C38" s="23" t="s">
        <v>325</v>
      </c>
      <c r="D38" s="42"/>
      <c r="E38" s="16">
        <f>F38 + G38 + H38</f>
        <v>0</v>
      </c>
      <c r="F38" s="17">
        <f>D38 * 0.1523243579</f>
        <v>0</v>
      </c>
      <c r="G38" s="17">
        <f>D38 * 0.002002453</f>
        <v>0</v>
      </c>
      <c r="H38" s="17">
        <f>D38 * 0.0045943728</f>
        <v>0</v>
      </c>
    </row>
    <row r="39" spans="1:8" x14ac:dyDescent="0.3">
      <c r="A39" s="147"/>
      <c r="B39" s="13" t="s">
        <v>327</v>
      </c>
      <c r="C39" s="23" t="s">
        <v>325</v>
      </c>
      <c r="D39" s="42"/>
      <c r="E39" s="16">
        <f>F39 + G39 + H39</f>
        <v>0</v>
      </c>
      <c r="F39" s="17">
        <f>D39 * 0.1715132705</f>
        <v>0</v>
      </c>
      <c r="G39" s="17">
        <f>D39 * 0.0022547101</f>
        <v>0</v>
      </c>
      <c r="H39" s="17">
        <f>D39 * 0.0051731444</f>
        <v>0</v>
      </c>
    </row>
    <row r="40" spans="1:8" x14ac:dyDescent="0.3">
      <c r="A40" s="147"/>
      <c r="B40" s="13" t="s">
        <v>331</v>
      </c>
      <c r="C40" s="23" t="s">
        <v>325</v>
      </c>
      <c r="D40" s="42"/>
      <c r="E40" s="16">
        <f>F40 + G40 + H40</f>
        <v>0</v>
      </c>
      <c r="F40" s="17">
        <f>D40 * 0.1905043593</f>
        <v>0</v>
      </c>
      <c r="G40" s="17">
        <f>D40 * 0.0025043666</f>
        <v>0</v>
      </c>
      <c r="H40" s="17">
        <f>D40 * 0.0057459493</f>
        <v>0</v>
      </c>
    </row>
    <row r="41" spans="1:8" ht="15" thickBot="1" x14ac:dyDescent="0.35">
      <c r="A41" s="147"/>
      <c r="B41" s="13" t="s">
        <v>329</v>
      </c>
      <c r="C41" s="23" t="s">
        <v>325</v>
      </c>
      <c r="D41" s="43"/>
      <c r="E41" s="16">
        <f>F41 + G41 + H41</f>
        <v>0</v>
      </c>
      <c r="F41" s="17">
        <f>D41 * 0.2278930654</f>
        <v>0</v>
      </c>
      <c r="G41" s="17">
        <f>D41 * 0.0029958778</f>
        <v>0</v>
      </c>
      <c r="H41" s="17">
        <f>D41 * 0.006873659</f>
        <v>0</v>
      </c>
    </row>
    <row r="42" spans="1:8" ht="15" thickBot="1" x14ac:dyDescent="0.35">
      <c r="A42" s="146"/>
      <c r="B42" s="148" t="s">
        <v>333</v>
      </c>
      <c r="C42" s="127"/>
      <c r="D42" s="127"/>
      <c r="E42" s="127"/>
      <c r="F42" s="127"/>
      <c r="G42" s="127"/>
      <c r="H42" s="127"/>
    </row>
    <row r="43" spans="1:8" x14ac:dyDescent="0.3">
      <c r="A43" s="147"/>
      <c r="B43" s="13" t="s">
        <v>324</v>
      </c>
      <c r="C43" s="23" t="s">
        <v>325</v>
      </c>
      <c r="D43" s="15"/>
      <c r="E43" s="16">
        <f>F43 + G43 + H43</f>
        <v>0</v>
      </c>
      <c r="F43" s="17">
        <f>D43 * 0.1889291714</f>
        <v>0</v>
      </c>
      <c r="G43" s="17">
        <f>D43 * 0.0002822304</f>
        <v>0</v>
      </c>
      <c r="H43" s="17">
        <f>D43 * 0.0026711089</f>
        <v>0</v>
      </c>
    </row>
    <row r="44" spans="1:8" x14ac:dyDescent="0.3">
      <c r="A44" s="147"/>
      <c r="B44" s="13" t="s">
        <v>326</v>
      </c>
      <c r="C44" s="23" t="s">
        <v>325</v>
      </c>
      <c r="D44" s="42"/>
      <c r="E44" s="16">
        <f>F44 + G44 + H44</f>
        <v>0</v>
      </c>
      <c r="F44" s="17">
        <f>D44 * 0.1818091472</f>
        <v>0</v>
      </c>
      <c r="G44" s="17">
        <f>D44 * 0.0002715942</f>
        <v>0</v>
      </c>
      <c r="H44" s="17">
        <f>D44 * 0.002570445</f>
        <v>0</v>
      </c>
    </row>
    <row r="45" spans="1:8" x14ac:dyDescent="0.3">
      <c r="A45" s="147"/>
      <c r="B45" s="13" t="s">
        <v>327</v>
      </c>
      <c r="C45" s="23" t="s">
        <v>325</v>
      </c>
      <c r="D45" s="42"/>
      <c r="E45" s="16">
        <f>F45 + G45 + H45</f>
        <v>0</v>
      </c>
      <c r="F45" s="17">
        <f>D45 * 0.1926965184</f>
        <v>0</v>
      </c>
      <c r="G45" s="17">
        <f>D45 * 0.0002878582</f>
        <v>0</v>
      </c>
      <c r="H45" s="17">
        <f>D45 * 0.0027243722</f>
        <v>0</v>
      </c>
    </row>
    <row r="46" spans="1:8" x14ac:dyDescent="0.3">
      <c r="A46" s="147"/>
      <c r="B46" s="13" t="s">
        <v>331</v>
      </c>
      <c r="C46" s="23" t="s">
        <v>325</v>
      </c>
      <c r="D46" s="42"/>
      <c r="E46" s="16">
        <f>F46 + G46 + H46</f>
        <v>0</v>
      </c>
      <c r="F46" s="17">
        <f>D46 * 0.2368966427</f>
        <v>0</v>
      </c>
      <c r="G46" s="17">
        <f>D46 * 0.0003538862</f>
        <v>0</v>
      </c>
      <c r="H46" s="17">
        <f>D46 * 0.0033492802</f>
        <v>0</v>
      </c>
    </row>
    <row r="47" spans="1:8" ht="15" thickBot="1" x14ac:dyDescent="0.35">
      <c r="A47" s="147"/>
      <c r="B47" s="13" t="s">
        <v>329</v>
      </c>
      <c r="C47" s="23" t="s">
        <v>325</v>
      </c>
      <c r="D47" s="43"/>
      <c r="E47" s="16">
        <f>F47 + G47 + H47</f>
        <v>0</v>
      </c>
      <c r="F47" s="17">
        <f>D47 * 0.2627818971</f>
        <v>0</v>
      </c>
      <c r="G47" s="17">
        <f>D47 * 0.0003925547</f>
        <v>0</v>
      </c>
      <c r="H47" s="17">
        <f>D47 * 0.0037152498</f>
        <v>0</v>
      </c>
    </row>
    <row r="48" spans="1:8" ht="15" thickBot="1" x14ac:dyDescent="0.35">
      <c r="A48" s="146"/>
      <c r="B48" s="148" t="s">
        <v>334</v>
      </c>
      <c r="C48" s="127"/>
      <c r="D48" s="127"/>
      <c r="E48" s="127"/>
      <c r="F48" s="127"/>
      <c r="G48" s="127"/>
      <c r="H48" s="127"/>
    </row>
    <row r="49" spans="1:8" x14ac:dyDescent="0.3">
      <c r="A49" s="147"/>
      <c r="B49" s="13" t="s">
        <v>335</v>
      </c>
      <c r="C49" s="23" t="s">
        <v>325</v>
      </c>
      <c r="D49" s="15"/>
      <c r="E49" s="16">
        <f>F49 + G49 + H49</f>
        <v>0</v>
      </c>
      <c r="F49" s="17">
        <f>D49 * 0.0654319821</f>
        <v>0</v>
      </c>
      <c r="G49" s="17">
        <f>D49 * 0.0008601676</f>
        <v>0</v>
      </c>
      <c r="H49" s="17">
        <f>D49 * 0.0019735446</f>
        <v>0</v>
      </c>
    </row>
    <row r="50" spans="1:8" ht="15" thickBot="1" x14ac:dyDescent="0.35">
      <c r="A50" s="147"/>
      <c r="B50" s="13" t="s">
        <v>336</v>
      </c>
      <c r="C50" s="23" t="s">
        <v>325</v>
      </c>
      <c r="D50" s="43"/>
      <c r="E50" s="61">
        <f>F50 + G50 + H50</f>
        <v>0</v>
      </c>
      <c r="F50" s="47">
        <f>D50 * 0.1308639642</f>
        <v>0</v>
      </c>
      <c r="G50" s="47">
        <f>D50 * 0.0017203351</f>
        <v>0</v>
      </c>
      <c r="H50" s="47">
        <f>D50 * 0.0039470892</f>
        <v>0</v>
      </c>
    </row>
    <row r="51" spans="1:8" x14ac:dyDescent="0.3">
      <c r="B51" s="26"/>
      <c r="C51" s="26"/>
      <c r="D51" s="27" t="s">
        <v>39</v>
      </c>
      <c r="E51" s="28">
        <f>SUM(E25:E29,E31:E35,E37:E41,E43:E47,E49:E50)</f>
        <v>0</v>
      </c>
      <c r="F51" s="29">
        <f>SUM(F25:F29,F31:F35,F37:F41,F43:F47,F49:F50)</f>
        <v>0</v>
      </c>
      <c r="G51" s="29">
        <f>SUM(G25:G29,G31:G35,G37:G41,G43:G47,G49:G50)</f>
        <v>0</v>
      </c>
      <c r="H51" s="29">
        <f>SUM(H25:H29,H31:H35,H37:H41,H43:H47,H49:H50)</f>
        <v>0</v>
      </c>
    </row>
    <row r="53" spans="1:8" ht="15" thickBot="1" x14ac:dyDescent="0.35">
      <c r="A53" s="111" t="s">
        <v>321</v>
      </c>
      <c r="B53" s="111"/>
      <c r="C53" s="144"/>
      <c r="D53" s="144"/>
      <c r="E53" s="111"/>
      <c r="F53" s="111"/>
      <c r="G53" s="111"/>
      <c r="H53" s="111"/>
    </row>
    <row r="54" spans="1:8" ht="15" thickBot="1" x14ac:dyDescent="0.35">
      <c r="A54" s="128" t="s">
        <v>337</v>
      </c>
      <c r="B54" s="112"/>
      <c r="C54" s="9" t="s">
        <v>19</v>
      </c>
      <c r="D54" s="11" t="s">
        <v>20</v>
      </c>
      <c r="E54" s="62" t="s">
        <v>12</v>
      </c>
      <c r="F54" s="32" t="s">
        <v>13</v>
      </c>
      <c r="G54" s="32" t="s">
        <v>14</v>
      </c>
      <c r="H54" s="32" t="s">
        <v>15</v>
      </c>
    </row>
    <row r="55" spans="1:8" ht="15" thickBot="1" x14ac:dyDescent="0.35">
      <c r="A55" s="129" t="s">
        <v>18</v>
      </c>
      <c r="B55" s="126" t="s">
        <v>323</v>
      </c>
      <c r="C55" s="149"/>
      <c r="D55" s="149"/>
      <c r="E55" s="127"/>
      <c r="F55" s="127"/>
      <c r="G55" s="127"/>
      <c r="H55" s="127"/>
    </row>
    <row r="56" spans="1:8" x14ac:dyDescent="0.3">
      <c r="A56" s="139"/>
      <c r="B56" s="13" t="s">
        <v>324</v>
      </c>
      <c r="C56" s="23" t="s">
        <v>325</v>
      </c>
      <c r="D56" s="15"/>
      <c r="E56" s="16">
        <f>F56 + G56 + H56</f>
        <v>0</v>
      </c>
      <c r="F56" s="17">
        <f>D56 * 0.1652171281</f>
        <v>0</v>
      </c>
      <c r="G56" s="17">
        <f>D56 * 0.0021719411</f>
        <v>0</v>
      </c>
      <c r="H56" s="17">
        <f>D56 * 0.0049832416</f>
        <v>0</v>
      </c>
    </row>
    <row r="57" spans="1:8" x14ac:dyDescent="0.3">
      <c r="A57" s="139"/>
      <c r="B57" s="13" t="s">
        <v>326</v>
      </c>
      <c r="C57" s="23" t="s">
        <v>325</v>
      </c>
      <c r="D57" s="19"/>
      <c r="E57" s="16">
        <f>F57 + G57 + H57</f>
        <v>0</v>
      </c>
      <c r="F57" s="17">
        <f>D57 * 0.1709908449</f>
        <v>0</v>
      </c>
      <c r="G57" s="17">
        <f>D57 * 0.0022478423</f>
        <v>0</v>
      </c>
      <c r="H57" s="17">
        <f>D57 * 0.0051573871</f>
        <v>0</v>
      </c>
    </row>
    <row r="58" spans="1:8" x14ac:dyDescent="0.3">
      <c r="A58" s="139"/>
      <c r="B58" s="13" t="s">
        <v>327</v>
      </c>
      <c r="C58" s="23" t="s">
        <v>325</v>
      </c>
      <c r="D58" s="19"/>
      <c r="E58" s="16">
        <f>F58 + G58 + H58</f>
        <v>0</v>
      </c>
      <c r="F58" s="17">
        <f>D58 * 0.1925312501</f>
        <v>0</v>
      </c>
      <c r="G58" s="17">
        <f>D58 * 0.0025310121</f>
        <v>0</v>
      </c>
      <c r="H58" s="17">
        <f>D58 * 0.0058070839</f>
        <v>0</v>
      </c>
    </row>
    <row r="59" spans="1:8" x14ac:dyDescent="0.3">
      <c r="A59" s="139"/>
      <c r="B59" s="13" t="s">
        <v>328</v>
      </c>
      <c r="C59" s="23" t="s">
        <v>325</v>
      </c>
      <c r="D59" s="19"/>
      <c r="E59" s="16">
        <f>F59 + G59 + H59</f>
        <v>0</v>
      </c>
      <c r="F59" s="17">
        <f>D59 * 0.2138495892</f>
        <v>0</v>
      </c>
      <c r="G59" s="17">
        <f>D59 * 0.0028112625</f>
        <v>0</v>
      </c>
      <c r="H59" s="17">
        <f>D59 * 0.0064500829</f>
        <v>0</v>
      </c>
    </row>
    <row r="60" spans="1:8" ht="15" thickBot="1" x14ac:dyDescent="0.35">
      <c r="A60" s="139"/>
      <c r="B60" s="13" t="s">
        <v>329</v>
      </c>
      <c r="C60" s="23" t="s">
        <v>325</v>
      </c>
      <c r="D60" s="22"/>
      <c r="E60" s="16">
        <f>F60 + G60 + H60</f>
        <v>0</v>
      </c>
      <c r="F60" s="17">
        <f>D60 * 0.2558200693</f>
        <v>0</v>
      </c>
      <c r="G60" s="17">
        <f>D60 * 0.0033630056</f>
        <v>0</v>
      </c>
      <c r="H60" s="17">
        <f>D60 * 0.007715987</f>
        <v>0</v>
      </c>
    </row>
    <row r="61" spans="1:8" ht="15" thickBot="1" x14ac:dyDescent="0.35">
      <c r="A61" s="129"/>
      <c r="B61" s="148" t="s">
        <v>330</v>
      </c>
      <c r="C61" s="127"/>
      <c r="D61" s="127"/>
      <c r="E61" s="127"/>
      <c r="F61" s="127"/>
      <c r="G61" s="127"/>
      <c r="H61" s="127"/>
    </row>
    <row r="62" spans="1:8" x14ac:dyDescent="0.3">
      <c r="A62" s="139"/>
      <c r="B62" s="13" t="s">
        <v>324</v>
      </c>
      <c r="C62" s="23" t="s">
        <v>325</v>
      </c>
      <c r="D62" s="15"/>
      <c r="E62" s="16">
        <f>F62 + G62 + H62</f>
        <v>0</v>
      </c>
      <c r="F62" s="17">
        <f>D62 * 0.1870865969</f>
        <v>0</v>
      </c>
      <c r="G62" s="17">
        <f>D62 * 0.0002794779</f>
        <v>0</v>
      </c>
      <c r="H62" s="17">
        <f>D62 * 0.0026450583</f>
        <v>0</v>
      </c>
    </row>
    <row r="63" spans="1:8" x14ac:dyDescent="0.3">
      <c r="A63" s="139"/>
      <c r="B63" s="13" t="s">
        <v>326</v>
      </c>
      <c r="C63" s="23" t="s">
        <v>325</v>
      </c>
      <c r="D63" s="19"/>
      <c r="E63" s="16">
        <f>F63 + G63 + H63</f>
        <v>0</v>
      </c>
      <c r="F63" s="17">
        <f>D63 * 0.1800360124</f>
        <v>0</v>
      </c>
      <c r="G63" s="17">
        <f>D63 * 0.0002689454</f>
        <v>0</v>
      </c>
      <c r="H63" s="17">
        <f>D63 * 0.0025453761</f>
        <v>0</v>
      </c>
    </row>
    <row r="64" spans="1:8" x14ac:dyDescent="0.3">
      <c r="A64" s="139"/>
      <c r="B64" s="13" t="s">
        <v>327</v>
      </c>
      <c r="C64" s="23" t="s">
        <v>325</v>
      </c>
      <c r="D64" s="19"/>
      <c r="E64" s="16">
        <f>F64 + G64 + H64</f>
        <v>0</v>
      </c>
      <c r="F64" s="17">
        <f>D64 * 0.190817202</f>
        <v>0</v>
      </c>
      <c r="G64" s="17">
        <f>D64 * 0.0002850508</f>
        <v>0</v>
      </c>
      <c r="H64" s="17">
        <f>D64 * 0.0026978022</f>
        <v>0</v>
      </c>
    </row>
    <row r="65" spans="1:8" x14ac:dyDescent="0.3">
      <c r="A65" s="139"/>
      <c r="B65" s="13" t="s">
        <v>331</v>
      </c>
      <c r="C65" s="23" t="s">
        <v>325</v>
      </c>
      <c r="D65" s="19"/>
      <c r="E65" s="16">
        <f>F65 + G65 + H65</f>
        <v>0</v>
      </c>
      <c r="F65" s="17">
        <f>D65 * 0.234566853</f>
        <v>0</v>
      </c>
      <c r="G65" s="17">
        <f>D65 * 0.0003504059</f>
        <v>0</v>
      </c>
      <c r="H65" s="17">
        <f>D65 * 0.0033163413</f>
        <v>0</v>
      </c>
    </row>
    <row r="66" spans="1:8" ht="15" thickBot="1" x14ac:dyDescent="0.35">
      <c r="A66" s="139"/>
      <c r="B66" s="13" t="s">
        <v>329</v>
      </c>
      <c r="C66" s="23" t="s">
        <v>325</v>
      </c>
      <c r="D66" s="22"/>
      <c r="E66" s="16">
        <f>F66 + G66 + H66</f>
        <v>0</v>
      </c>
      <c r="F66" s="17">
        <f>D66 * 0.2601975355</f>
        <v>0</v>
      </c>
      <c r="G66" s="17">
        <f>D66 * 0.0003886941</f>
        <v>0</v>
      </c>
      <c r="H66" s="17">
        <f>D66 * 0.0036787117</f>
        <v>0</v>
      </c>
    </row>
    <row r="67" spans="1:8" ht="15" thickBot="1" x14ac:dyDescent="0.35">
      <c r="A67" s="129"/>
      <c r="B67" s="148" t="s">
        <v>332</v>
      </c>
      <c r="C67" s="127"/>
      <c r="D67" s="127"/>
      <c r="E67" s="127"/>
      <c r="F67" s="127"/>
      <c r="G67" s="127"/>
      <c r="H67" s="127"/>
    </row>
    <row r="68" spans="1:8" x14ac:dyDescent="0.3">
      <c r="A68" s="139"/>
      <c r="B68" s="13" t="s">
        <v>324</v>
      </c>
      <c r="C68" s="23" t="s">
        <v>325</v>
      </c>
      <c r="D68" s="15"/>
      <c r="E68" s="16">
        <f>F68 + G68 + H68</f>
        <v>0</v>
      </c>
      <c r="F68" s="17">
        <f>D68 * 0.1304345748</f>
        <v>0</v>
      </c>
      <c r="G68" s="17">
        <f>D68 * 0.0017146904</f>
        <v>0</v>
      </c>
      <c r="H68" s="17">
        <f>D68 * 0.0039341381</f>
        <v>0</v>
      </c>
    </row>
    <row r="69" spans="1:8" x14ac:dyDescent="0.3">
      <c r="A69" s="139"/>
      <c r="B69" s="13" t="s">
        <v>326</v>
      </c>
      <c r="C69" s="23" t="s">
        <v>325</v>
      </c>
      <c r="D69" s="19"/>
      <c r="E69" s="16">
        <f>F69 + G69 + H69</f>
        <v>0</v>
      </c>
      <c r="F69" s="17">
        <f>D69 * 0.1349927723</f>
        <v>0</v>
      </c>
      <c r="G69" s="17">
        <f>D69 * 0.0017746124</f>
        <v>0</v>
      </c>
      <c r="H69" s="17">
        <f>D69 * 0.0040716214</f>
        <v>0</v>
      </c>
    </row>
    <row r="70" spans="1:8" x14ac:dyDescent="0.3">
      <c r="A70" s="139"/>
      <c r="B70" s="13" t="s">
        <v>327</v>
      </c>
      <c r="C70" s="23" t="s">
        <v>325</v>
      </c>
      <c r="D70" s="19"/>
      <c r="E70" s="16">
        <f>F70 + G70 + H70</f>
        <v>0</v>
      </c>
      <c r="F70" s="17">
        <f>D70 * 0.1519983553</f>
        <v>0</v>
      </c>
      <c r="G70" s="17">
        <f>D70 * 0.0019981674</f>
        <v>0</v>
      </c>
      <c r="H70" s="17">
        <f>D70 * 0.00458454</f>
        <v>0</v>
      </c>
    </row>
    <row r="71" spans="1:8" x14ac:dyDescent="0.3">
      <c r="A71" s="139"/>
      <c r="B71" s="13" t="s">
        <v>331</v>
      </c>
      <c r="C71" s="23" t="s">
        <v>325</v>
      </c>
      <c r="D71" s="19"/>
      <c r="E71" s="16">
        <f>F71 + G71 + H71</f>
        <v>0</v>
      </c>
      <c r="F71" s="17">
        <f>D71 * 0.1688286231</f>
        <v>0</v>
      </c>
      <c r="G71" s="17">
        <f>D71 * 0.0022194178</f>
        <v>0</v>
      </c>
      <c r="H71" s="17">
        <f>D71 * 0.0050921707</f>
        <v>0</v>
      </c>
    </row>
    <row r="72" spans="1:8" ht="15" thickBot="1" x14ac:dyDescent="0.35">
      <c r="A72" s="139"/>
      <c r="B72" s="13" t="s">
        <v>329</v>
      </c>
      <c r="C72" s="23" t="s">
        <v>325</v>
      </c>
      <c r="D72" s="22"/>
      <c r="E72" s="16">
        <f>F72 + G72 + H72</f>
        <v>0</v>
      </c>
      <c r="F72" s="17">
        <f>D72 * 0.2019632126</f>
        <v>0</v>
      </c>
      <c r="G72" s="17">
        <f>D72 * 0.0026550045</f>
        <v>0</v>
      </c>
      <c r="H72" s="17">
        <f>D72 * 0.0060915687</f>
        <v>0</v>
      </c>
    </row>
    <row r="73" spans="1:8" ht="15" thickBot="1" x14ac:dyDescent="0.35">
      <c r="A73" s="129"/>
      <c r="B73" s="148" t="s">
        <v>333</v>
      </c>
      <c r="C73" s="127"/>
      <c r="D73" s="127"/>
      <c r="E73" s="127"/>
      <c r="F73" s="127"/>
      <c r="G73" s="127"/>
      <c r="H73" s="127"/>
    </row>
    <row r="74" spans="1:8" x14ac:dyDescent="0.3">
      <c r="A74" s="139"/>
      <c r="B74" s="13" t="s">
        <v>324</v>
      </c>
      <c r="C74" s="23" t="s">
        <v>325</v>
      </c>
      <c r="D74" s="15"/>
      <c r="E74" s="16">
        <f>F74 + G74 + H74</f>
        <v>0</v>
      </c>
      <c r="F74" s="17">
        <f>D74 * 0.1674326613</f>
        <v>0</v>
      </c>
      <c r="G74" s="17">
        <f>D74 * 0.000250118</f>
        <v>0</v>
      </c>
      <c r="H74" s="17">
        <f>D74 * 0.002367188</f>
        <v>0</v>
      </c>
    </row>
    <row r="75" spans="1:8" x14ac:dyDescent="0.3">
      <c r="A75" s="139"/>
      <c r="B75" s="13" t="s">
        <v>326</v>
      </c>
      <c r="C75" s="23" t="s">
        <v>325</v>
      </c>
      <c r="D75" s="19"/>
      <c r="E75" s="16">
        <f>F75 + G75 + H75</f>
        <v>0</v>
      </c>
      <c r="F75" s="17">
        <f>D75 * 0.1611227591</f>
        <v>0</v>
      </c>
      <c r="G75" s="17">
        <f>D75 * 0.000240692</f>
        <v>0</v>
      </c>
      <c r="H75" s="17">
        <f>D75 * 0.0022779777</f>
        <v>0</v>
      </c>
    </row>
    <row r="76" spans="1:8" x14ac:dyDescent="0.3">
      <c r="A76" s="139"/>
      <c r="B76" s="13" t="s">
        <v>327</v>
      </c>
      <c r="C76" s="23" t="s">
        <v>325</v>
      </c>
      <c r="D76" s="19"/>
      <c r="E76" s="16">
        <f>F76 + G76 + H76</f>
        <v>0</v>
      </c>
      <c r="F76" s="17">
        <f>D76 * 0.1707713565</f>
        <v>0</v>
      </c>
      <c r="G76" s="17">
        <f>D76 * 0.0002551055</f>
        <v>0</v>
      </c>
      <c r="H76" s="17">
        <f>D76 * 0.002414391</f>
        <v>0</v>
      </c>
    </row>
    <row r="77" spans="1:8" x14ac:dyDescent="0.3">
      <c r="A77" s="139"/>
      <c r="B77" s="13" t="s">
        <v>331</v>
      </c>
      <c r="C77" s="23" t="s">
        <v>325</v>
      </c>
      <c r="D77" s="19"/>
      <c r="E77" s="16">
        <f>F77 + G77 + H77</f>
        <v>0</v>
      </c>
      <c r="F77" s="17">
        <f>D77 * 0.2099423558</f>
        <v>0</v>
      </c>
      <c r="G77" s="17">
        <f>D77 * 0.0003136208</f>
        <v>0</v>
      </c>
      <c r="H77" s="17">
        <f>D77 * 0.0029681965</f>
        <v>0</v>
      </c>
    </row>
    <row r="78" spans="1:8" ht="15" thickBot="1" x14ac:dyDescent="0.35">
      <c r="A78" s="139"/>
      <c r="B78" s="13" t="s">
        <v>329</v>
      </c>
      <c r="C78" s="23" t="s">
        <v>325</v>
      </c>
      <c r="D78" s="22"/>
      <c r="E78" s="16">
        <f>F78 + G78 + H78</f>
        <v>0</v>
      </c>
      <c r="F78" s="17">
        <f>D78 * 0.2328823655</f>
        <v>0</v>
      </c>
      <c r="G78" s="17">
        <f>D78 * 0.0003478895</f>
        <v>0</v>
      </c>
      <c r="H78" s="17">
        <f>D78 * 0.0032925258</f>
        <v>0</v>
      </c>
    </row>
    <row r="79" spans="1:8" ht="15" thickBot="1" x14ac:dyDescent="0.35">
      <c r="A79" s="129"/>
      <c r="B79" s="148" t="s">
        <v>338</v>
      </c>
      <c r="C79" s="127"/>
      <c r="D79" s="126"/>
      <c r="E79" s="127"/>
      <c r="F79" s="127"/>
      <c r="G79" s="127"/>
      <c r="H79" s="127"/>
    </row>
    <row r="80" spans="1:8" x14ac:dyDescent="0.3">
      <c r="A80" s="139"/>
      <c r="B80" s="13" t="s">
        <v>324</v>
      </c>
      <c r="C80" s="18" t="s">
        <v>325</v>
      </c>
      <c r="D80" s="15"/>
      <c r="E80" s="16">
        <f>F80 + G80 + H80</f>
        <v>0</v>
      </c>
      <c r="F80" s="17">
        <f>D80 * 0.0682607608</f>
        <v>0</v>
      </c>
      <c r="G80" s="17">
        <f>D80 * 0.0008973546</f>
        <v>0</v>
      </c>
      <c r="H80" s="17">
        <f>D80 * 0.0020588656</f>
        <v>0</v>
      </c>
    </row>
    <row r="81" spans="1:8" x14ac:dyDescent="0.3">
      <c r="A81" s="139"/>
      <c r="B81" s="13" t="s">
        <v>326</v>
      </c>
      <c r="C81" s="18" t="s">
        <v>325</v>
      </c>
      <c r="D81" s="19"/>
      <c r="E81" s="16">
        <f>F81 + G81 + H81</f>
        <v>0</v>
      </c>
      <c r="F81" s="17">
        <f>D81 * 0.0706462175</f>
        <v>0</v>
      </c>
      <c r="G81" s="17">
        <f>D81 * 0.0009287138</f>
        <v>0</v>
      </c>
      <c r="H81" s="17">
        <f>D81 * 0.0021308152</f>
        <v>0</v>
      </c>
    </row>
    <row r="82" spans="1:8" x14ac:dyDescent="0.3">
      <c r="A82" s="139"/>
      <c r="B82" s="13" t="s">
        <v>327</v>
      </c>
      <c r="C82" s="18" t="s">
        <v>325</v>
      </c>
      <c r="D82" s="19"/>
      <c r="E82" s="16">
        <f>F82 + G82 + H82</f>
        <v>0</v>
      </c>
      <c r="F82" s="17">
        <f>D82 * 0.079545806</f>
        <v>0</v>
      </c>
      <c r="G82" s="17">
        <f>D82 * 0.0010457076</f>
        <v>0</v>
      </c>
      <c r="H82" s="17">
        <f>D82 * 0.0023992426</f>
        <v>0</v>
      </c>
    </row>
    <row r="83" spans="1:8" x14ac:dyDescent="0.3">
      <c r="A83" s="139"/>
      <c r="B83" s="13" t="s">
        <v>331</v>
      </c>
      <c r="C83" s="18" t="s">
        <v>325</v>
      </c>
      <c r="D83" s="19"/>
      <c r="E83" s="16">
        <f>F83 + G83 + H83</f>
        <v>0</v>
      </c>
      <c r="F83" s="17">
        <f>D83 * 0.0883536461</f>
        <v>0</v>
      </c>
      <c r="G83" s="17">
        <f>D83 * 0.0011614953</f>
        <v>0</v>
      </c>
      <c r="H83" s="17">
        <f>D83 * 0.0026649027</f>
        <v>0</v>
      </c>
    </row>
    <row r="84" spans="1:8" ht="15" thickBot="1" x14ac:dyDescent="0.35">
      <c r="A84" s="139"/>
      <c r="B84" s="13" t="s">
        <v>329</v>
      </c>
      <c r="C84" s="18" t="s">
        <v>325</v>
      </c>
      <c r="D84" s="22"/>
      <c r="E84" s="16">
        <f>F84 + G84 + H84</f>
        <v>0</v>
      </c>
      <c r="F84" s="17">
        <f>D84 * 0.1056940813</f>
        <v>0</v>
      </c>
      <c r="G84" s="17">
        <f>D84 * 0.0013894523</f>
        <v>0</v>
      </c>
      <c r="H84" s="17">
        <f>D84 * 0.0031879209</f>
        <v>0</v>
      </c>
    </row>
    <row r="85" spans="1:8" ht="15" thickBot="1" x14ac:dyDescent="0.35">
      <c r="A85" s="129"/>
      <c r="B85" s="149" t="s">
        <v>339</v>
      </c>
      <c r="C85" s="127"/>
      <c r="D85" s="149"/>
      <c r="E85" s="127"/>
      <c r="F85" s="127"/>
      <c r="G85" s="127"/>
      <c r="H85" s="127"/>
    </row>
    <row r="86" spans="1:8" x14ac:dyDescent="0.3">
      <c r="A86" s="129"/>
      <c r="B86" s="13" t="s">
        <v>324</v>
      </c>
      <c r="C86" s="13" t="s">
        <v>325</v>
      </c>
      <c r="D86" s="15"/>
      <c r="E86" s="16">
        <f>F86 + G86 + H86</f>
        <v>0</v>
      </c>
      <c r="F86" s="17">
        <f>D86 * 0.0071551358</f>
        <v>0</v>
      </c>
      <c r="G86" s="17">
        <f>D86 * 0.0001925291</f>
        <v>0</v>
      </c>
      <c r="H86" s="17">
        <f>D86 * 0.0000157301</f>
        <v>0</v>
      </c>
    </row>
    <row r="87" spans="1:8" x14ac:dyDescent="0.3">
      <c r="A87" s="129"/>
      <c r="B87" s="13" t="s">
        <v>326</v>
      </c>
      <c r="C87" s="13" t="s">
        <v>325</v>
      </c>
      <c r="D87" s="19"/>
      <c r="E87" s="16">
        <f>F87 + G87 + H87</f>
        <v>0</v>
      </c>
      <c r="F87" s="17">
        <f>D87 * 0.0074051808</f>
        <v>0</v>
      </c>
      <c r="G87" s="17">
        <f>D87 * 0.0001992572</f>
        <v>0</v>
      </c>
      <c r="H87" s="17">
        <f>D87 * 0.0000162798</f>
        <v>0</v>
      </c>
    </row>
    <row r="88" spans="1:8" x14ac:dyDescent="0.3">
      <c r="A88" s="129"/>
      <c r="B88" s="13" t="s">
        <v>327</v>
      </c>
      <c r="C88" s="13" t="s">
        <v>325</v>
      </c>
      <c r="D88" s="19"/>
      <c r="E88" s="16">
        <f>F88 + G88 + H88</f>
        <v>0</v>
      </c>
      <c r="F88" s="17">
        <f>D88 * 0.0083380413</f>
        <v>0</v>
      </c>
      <c r="G88" s="17">
        <f>D88 * 0.0002243585</f>
        <v>0</v>
      </c>
      <c r="H88" s="17">
        <f>D88 * 0.0000183307</f>
        <v>0</v>
      </c>
    </row>
    <row r="89" spans="1:8" x14ac:dyDescent="0.3">
      <c r="A89" s="129"/>
      <c r="B89" s="13" t="s">
        <v>331</v>
      </c>
      <c r="C89" s="13" t="s">
        <v>325</v>
      </c>
      <c r="D89" s="19"/>
      <c r="E89" s="16">
        <f>F89 + G89 + H89</f>
        <v>0</v>
      </c>
      <c r="F89" s="17">
        <f>D89 * 0.0092612846</f>
        <v>0</v>
      </c>
      <c r="G89" s="17">
        <f>D89 * 0.0002492009</f>
        <v>0</v>
      </c>
      <c r="H89" s="17">
        <f>D89 * 0.0000203604</f>
        <v>0</v>
      </c>
    </row>
    <row r="90" spans="1:8" ht="15" thickBot="1" x14ac:dyDescent="0.35">
      <c r="A90" s="129"/>
      <c r="B90" s="13" t="s">
        <v>329</v>
      </c>
      <c r="C90" s="13" t="s">
        <v>325</v>
      </c>
      <c r="D90" s="22"/>
      <c r="E90" s="16">
        <f>F90 + G90 + H90</f>
        <v>0</v>
      </c>
      <c r="F90" s="17">
        <f>D90 * 0.0110789199</f>
        <v>0</v>
      </c>
      <c r="G90" s="17">
        <f>D90 * 0.0002981095</f>
        <v>0</v>
      </c>
      <c r="H90" s="17">
        <f>D90 * 0.0000243563</f>
        <v>0</v>
      </c>
    </row>
    <row r="91" spans="1:8" ht="15" thickBot="1" x14ac:dyDescent="0.35">
      <c r="A91" s="129"/>
      <c r="B91" s="127" t="s">
        <v>340</v>
      </c>
      <c r="C91" s="127"/>
      <c r="D91" s="127"/>
      <c r="E91" s="127"/>
      <c r="F91" s="127"/>
      <c r="G91" s="127"/>
      <c r="H91" s="127"/>
    </row>
    <row r="92" spans="1:8" x14ac:dyDescent="0.3">
      <c r="A92" s="129"/>
      <c r="B92" s="13" t="s">
        <v>324</v>
      </c>
      <c r="C92" s="13" t="s">
        <v>325</v>
      </c>
      <c r="D92" s="15"/>
      <c r="E92" s="16">
        <f>F92 + G92 + H92</f>
        <v>0</v>
      </c>
      <c r="F92" s="17">
        <f>D92 * 0.0876230927</f>
        <v>0</v>
      </c>
      <c r="G92" s="17">
        <f>D92 * 0.0001308951</f>
        <v>0</v>
      </c>
      <c r="H92" s="17">
        <f>D92 * 0.0012388284</f>
        <v>0</v>
      </c>
    </row>
    <row r="93" spans="1:8" x14ac:dyDescent="0.3">
      <c r="A93" s="129"/>
      <c r="B93" s="13" t="s">
        <v>326</v>
      </c>
      <c r="C93" s="13" t="s">
        <v>325</v>
      </c>
      <c r="D93" s="19"/>
      <c r="E93" s="16">
        <f>F93 + G93 + H93</f>
        <v>0</v>
      </c>
      <c r="F93" s="17">
        <f>D93 * 0.0843209106</f>
        <v>0</v>
      </c>
      <c r="G93" s="17">
        <f>D93 * 0.0001259621</f>
        <v>0</v>
      </c>
      <c r="H93" s="17">
        <f>D93 * 0.0011921417</f>
        <v>0</v>
      </c>
    </row>
    <row r="94" spans="1:8" x14ac:dyDescent="0.3">
      <c r="A94" s="129"/>
      <c r="B94" s="13" t="s">
        <v>327</v>
      </c>
      <c r="C94" s="13" t="s">
        <v>325</v>
      </c>
      <c r="D94" s="19"/>
      <c r="E94" s="16">
        <f>F94 + G94 + H94</f>
        <v>0</v>
      </c>
      <c r="F94" s="17">
        <f>D94 * 0.0893703433</f>
        <v>0</v>
      </c>
      <c r="G94" s="17">
        <f>D94 * 0.0001335052</f>
        <v>0</v>
      </c>
      <c r="H94" s="17">
        <f>D94 * 0.0012635313</f>
        <v>0</v>
      </c>
    </row>
    <row r="95" spans="1:8" x14ac:dyDescent="0.3">
      <c r="A95" s="129"/>
      <c r="B95" s="13" t="s">
        <v>331</v>
      </c>
      <c r="C95" s="13" t="s">
        <v>325</v>
      </c>
      <c r="D95" s="19"/>
      <c r="E95" s="16">
        <f>F95 + G95 + H95</f>
        <v>0</v>
      </c>
      <c r="F95" s="17">
        <f>D95 * 0.1098698329</f>
        <v>0</v>
      </c>
      <c r="G95" s="17">
        <f>D95 * 0.0001641282</f>
        <v>0</v>
      </c>
      <c r="H95" s="17">
        <f>D95 * 0.0015533562</f>
        <v>0</v>
      </c>
    </row>
    <row r="96" spans="1:8" ht="15" thickBot="1" x14ac:dyDescent="0.35">
      <c r="A96" s="129"/>
      <c r="B96" s="13" t="s">
        <v>329</v>
      </c>
      <c r="C96" s="13" t="s">
        <v>325</v>
      </c>
      <c r="D96" s="22"/>
      <c r="E96" s="16">
        <f>F96 + G96 + H96</f>
        <v>0</v>
      </c>
      <c r="F96" s="17">
        <f>D96 * 0.1218751046</f>
        <v>0</v>
      </c>
      <c r="G96" s="17">
        <f>D96 * 0.0001820622</f>
        <v>0</v>
      </c>
      <c r="H96" s="17">
        <f>D96 * 0.0017230885</f>
        <v>0</v>
      </c>
    </row>
    <row r="97" spans="1:8" ht="15" thickBot="1" x14ac:dyDescent="0.35">
      <c r="A97" s="129"/>
      <c r="B97" s="127" t="s">
        <v>341</v>
      </c>
      <c r="C97" s="127"/>
      <c r="D97" s="127"/>
      <c r="E97" s="127"/>
      <c r="F97" s="127"/>
      <c r="G97" s="127"/>
      <c r="H97" s="127"/>
    </row>
    <row r="98" spans="1:8" x14ac:dyDescent="0.3">
      <c r="A98" s="129"/>
      <c r="B98" s="13" t="s">
        <v>324</v>
      </c>
      <c r="C98" s="13" t="s">
        <v>325</v>
      </c>
      <c r="D98" s="15"/>
      <c r="E98" s="16">
        <f>F98 + G98 + H98</f>
        <v>0</v>
      </c>
      <c r="F98" s="17">
        <f>D98 * 0.0078040027</f>
        <v>0</v>
      </c>
      <c r="G98" s="17">
        <f>D98 * 0.0002099887</f>
        <v>0</v>
      </c>
      <c r="H98" s="17">
        <f>D98 * 0.0000171566</f>
        <v>0</v>
      </c>
    </row>
    <row r="99" spans="1:8" x14ac:dyDescent="0.3">
      <c r="A99" s="129"/>
      <c r="B99" s="13" t="s">
        <v>326</v>
      </c>
      <c r="C99" s="13" t="s">
        <v>325</v>
      </c>
      <c r="D99" s="19"/>
      <c r="E99" s="16">
        <f>F99 + G99 + H99</f>
        <v>0</v>
      </c>
      <c r="F99" s="17">
        <f>D99 * 0.0074954856</f>
        <v>0</v>
      </c>
      <c r="G99" s="17">
        <f>D99 * 0.0002016871</f>
        <v>0</v>
      </c>
      <c r="H99" s="17">
        <f>D99 * 0.0000164784</f>
        <v>0</v>
      </c>
    </row>
    <row r="100" spans="1:8" x14ac:dyDescent="0.3">
      <c r="A100" s="129"/>
      <c r="B100" s="13" t="s">
        <v>327</v>
      </c>
      <c r="C100" s="13" t="s">
        <v>325</v>
      </c>
      <c r="D100" s="19"/>
      <c r="E100" s="16">
        <f>F100 + G100 + H100</f>
        <v>0</v>
      </c>
      <c r="F100" s="17">
        <f>D100 * 0.0082127302</f>
        <v>0</v>
      </c>
      <c r="G100" s="17">
        <f>D100 * 0.0002209866</f>
        <v>0</v>
      </c>
      <c r="H100" s="17">
        <f>D100 * 0.0000180552</f>
        <v>0</v>
      </c>
    </row>
    <row r="101" spans="1:8" x14ac:dyDescent="0.3">
      <c r="A101" s="129"/>
      <c r="B101" s="13" t="s">
        <v>331</v>
      </c>
      <c r="C101" s="13" t="s">
        <v>325</v>
      </c>
      <c r="D101" s="19"/>
      <c r="E101" s="16">
        <f>F101 + G101 + H101</f>
        <v>0</v>
      </c>
      <c r="F101" s="17">
        <f>D101 * 0.0092956177</f>
        <v>0</v>
      </c>
      <c r="G101" s="17">
        <f>D101 * 0.0002501248</f>
        <v>0</v>
      </c>
      <c r="H101" s="17">
        <f>D101 * 0.0000204359</f>
        <v>0</v>
      </c>
    </row>
    <row r="102" spans="1:8" ht="15" thickBot="1" x14ac:dyDescent="0.35">
      <c r="A102" s="129"/>
      <c r="B102" s="13" t="s">
        <v>329</v>
      </c>
      <c r="C102" s="13" t="s">
        <v>325</v>
      </c>
      <c r="D102" s="22"/>
      <c r="E102" s="16">
        <f>F102 + G102 + H102</f>
        <v>0</v>
      </c>
      <c r="F102" s="17">
        <f>D102 * 0.0109942892</f>
        <v>0</v>
      </c>
      <c r="G102" s="17">
        <f>D102 * 0.0002958323</f>
        <v>0</v>
      </c>
      <c r="H102" s="17">
        <f>D102 * 0.0000241703</f>
        <v>0</v>
      </c>
    </row>
    <row r="103" spans="1:8" ht="15" thickBot="1" x14ac:dyDescent="0.35">
      <c r="A103" s="129"/>
      <c r="B103" s="127" t="s">
        <v>342</v>
      </c>
      <c r="C103" s="127"/>
      <c r="D103" s="127"/>
      <c r="E103" s="127"/>
      <c r="F103" s="127"/>
      <c r="G103" s="127"/>
      <c r="H103" s="127"/>
    </row>
    <row r="104" spans="1:8" x14ac:dyDescent="0.3">
      <c r="A104" s="129"/>
      <c r="B104" s="13" t="s">
        <v>324</v>
      </c>
      <c r="C104" s="13" t="s">
        <v>325</v>
      </c>
      <c r="D104" s="15"/>
      <c r="E104" s="16">
        <f>F104 + G104 + H104</f>
        <v>0</v>
      </c>
      <c r="F104" s="17">
        <f>D104 * 0.0150107743</f>
        <v>0</v>
      </c>
      <c r="G104" s="17">
        <f>D104 * 0.0004039072</f>
        <v>0</v>
      </c>
      <c r="H104" s="17">
        <f>D104 * 0.0000330003</f>
        <v>0</v>
      </c>
    </row>
    <row r="105" spans="1:8" x14ac:dyDescent="0.3">
      <c r="A105" s="129"/>
      <c r="B105" s="13" t="s">
        <v>326</v>
      </c>
      <c r="C105" s="13" t="s">
        <v>325</v>
      </c>
      <c r="D105" s="19"/>
      <c r="E105" s="16">
        <f>F105 + G105 + H105</f>
        <v>0</v>
      </c>
      <c r="F105" s="17">
        <f>D105 * 0.0155353444</f>
        <v>0</v>
      </c>
      <c r="G105" s="17">
        <f>D105 * 0.0004180222</f>
        <v>0</v>
      </c>
      <c r="H105" s="17">
        <f>D105 * 0.0000341535</f>
        <v>0</v>
      </c>
    </row>
    <row r="106" spans="1:8" x14ac:dyDescent="0.3">
      <c r="A106" s="129"/>
      <c r="B106" s="13" t="s">
        <v>327</v>
      </c>
      <c r="C106" s="13" t="s">
        <v>325</v>
      </c>
      <c r="D106" s="19"/>
      <c r="E106" s="16">
        <f>F106 + G106 + H106</f>
        <v>0</v>
      </c>
      <c r="F106" s="17">
        <f>D106 * 0.0174923943</f>
        <v>0</v>
      </c>
      <c r="G106" s="17">
        <f>D106 * 0.0004706821</f>
        <v>0</v>
      </c>
      <c r="H106" s="17">
        <f>D106 * 0.000038456</f>
        <v>0</v>
      </c>
    </row>
    <row r="107" spans="1:8" x14ac:dyDescent="0.3">
      <c r="A107" s="129"/>
      <c r="B107" s="13" t="s">
        <v>331</v>
      </c>
      <c r="C107" s="13" t="s">
        <v>325</v>
      </c>
      <c r="D107" s="19"/>
      <c r="E107" s="16">
        <f>F107 + G107 + H107</f>
        <v>0</v>
      </c>
      <c r="F107" s="17">
        <f>D107 * 0.0194292684</f>
        <v>0</v>
      </c>
      <c r="G107" s="17">
        <f>D107 * 0.0005227992</f>
        <v>0</v>
      </c>
      <c r="H107" s="17">
        <f>D107 * 0.0000427141</f>
        <v>0</v>
      </c>
    </row>
    <row r="108" spans="1:8" ht="15" thickBot="1" x14ac:dyDescent="0.35">
      <c r="A108" s="129"/>
      <c r="B108" s="13" t="s">
        <v>329</v>
      </c>
      <c r="C108" s="13" t="s">
        <v>325</v>
      </c>
      <c r="D108" s="22"/>
      <c r="E108" s="16">
        <f>F108 + G108 + H108</f>
        <v>0</v>
      </c>
      <c r="F108" s="17">
        <f>D108 * 0.0232424893</f>
        <v>0</v>
      </c>
      <c r="G108" s="17">
        <f>D108 * 0.0006254046</f>
        <v>0</v>
      </c>
      <c r="H108" s="17">
        <f>D108 * 0.0000510972</f>
        <v>0</v>
      </c>
    </row>
    <row r="109" spans="1:8" ht="15" thickBot="1" x14ac:dyDescent="0.35">
      <c r="A109" s="129"/>
      <c r="B109" s="126" t="s">
        <v>334</v>
      </c>
      <c r="C109" s="127"/>
      <c r="D109" s="127"/>
      <c r="E109" s="127"/>
      <c r="F109" s="127"/>
      <c r="G109" s="127"/>
      <c r="H109" s="127"/>
    </row>
    <row r="110" spans="1:8" x14ac:dyDescent="0.3">
      <c r="A110" s="139"/>
      <c r="B110" s="13" t="s">
        <v>335</v>
      </c>
      <c r="C110" s="23" t="s">
        <v>325</v>
      </c>
      <c r="D110" s="15"/>
      <c r="E110" s="16">
        <f>F110 + G110 + H110</f>
        <v>0</v>
      </c>
      <c r="F110" s="17">
        <f>D110 * 0.0580003972</f>
        <v>0</v>
      </c>
      <c r="G110" s="17">
        <f>D110 * 0.0007624721</f>
        <v>0</v>
      </c>
      <c r="H110" s="17">
        <f>D110 * 0.0017493948</f>
        <v>0</v>
      </c>
    </row>
    <row r="111" spans="1:8" x14ac:dyDescent="0.3">
      <c r="A111" s="139"/>
      <c r="B111" s="13" t="s">
        <v>336</v>
      </c>
      <c r="C111" s="23" t="s">
        <v>325</v>
      </c>
      <c r="D111" s="19"/>
      <c r="E111" s="16">
        <f>F111 + G111 + H111</f>
        <v>0</v>
      </c>
      <c r="F111" s="17">
        <f>D111 * 0.1160007944</f>
        <v>0</v>
      </c>
      <c r="G111" s="17">
        <f>D111 * 0.0015249442</f>
        <v>0</v>
      </c>
      <c r="H111" s="17">
        <f>D111 * 0.0034987897</f>
        <v>0</v>
      </c>
    </row>
    <row r="112" spans="1:8" x14ac:dyDescent="0.3">
      <c r="A112" s="139"/>
      <c r="B112" s="13" t="s">
        <v>343</v>
      </c>
      <c r="C112" s="23" t="s">
        <v>325</v>
      </c>
      <c r="D112" s="19"/>
      <c r="E112" s="16">
        <f>F112 + G112 + H112</f>
        <v>0</v>
      </c>
      <c r="F112" s="17">
        <f>D112 * 0.0036907183</f>
        <v>0</v>
      </c>
      <c r="G112" s="17">
        <f>D112 * 0.0000993092</f>
        <v>0</v>
      </c>
      <c r="H112" s="17">
        <f>D112 * 0.0000081138</f>
        <v>0</v>
      </c>
    </row>
    <row r="113" spans="1:8" ht="15" thickBot="1" x14ac:dyDescent="0.35">
      <c r="A113" s="139"/>
      <c r="B113" s="13" t="s">
        <v>344</v>
      </c>
      <c r="C113" s="23" t="s">
        <v>325</v>
      </c>
      <c r="D113" s="22"/>
      <c r="E113" s="44">
        <f>F113 + G113 + H113</f>
        <v>0</v>
      </c>
      <c r="F113" s="45">
        <f>D113 * 0.0073814366</f>
        <v>0</v>
      </c>
      <c r="G113" s="45">
        <f>D113 * 0.0001986183</f>
        <v>0</v>
      </c>
      <c r="H113" s="45">
        <f>D113 * 0.0000162276</f>
        <v>0</v>
      </c>
    </row>
    <row r="114" spans="1:8" x14ac:dyDescent="0.3">
      <c r="B114" s="26"/>
      <c r="C114" s="26"/>
      <c r="D114" s="27" t="s">
        <v>39</v>
      </c>
      <c r="E114" s="28">
        <f>SUM(E56:E60,E62:E66,E68:E72,E74:E78,E80:E84,E86:E90,E92:E96,E98:E102,E104:E108,E110:E113)</f>
        <v>0</v>
      </c>
      <c r="F114" s="29">
        <f>SUM(F56:F60,F62:F66,F68:F72,F74:F78,F80:F84,F86:F90,F92:F96,F98:F102,F104:F108,F110:F113)</f>
        <v>0</v>
      </c>
      <c r="G114" s="29">
        <f>SUM(G56:G60,G62:G66,G68:G72,G74:G78,G80:G84,G86:G90,G92:G96,G98:G102,G104:G108,G110:G113)</f>
        <v>0</v>
      </c>
      <c r="H114" s="29">
        <f>SUM(H56:H60,H62:H66,H68:H72,H74:H78,H80:H84,H86:H90,H92:H96,H98:H102,H104:H108,H110:H113)</f>
        <v>0</v>
      </c>
    </row>
    <row r="116" spans="1:8" ht="15" thickBot="1" x14ac:dyDescent="0.35">
      <c r="A116" s="111" t="s">
        <v>321</v>
      </c>
      <c r="B116" s="111"/>
      <c r="C116" s="111"/>
      <c r="D116" s="111"/>
      <c r="E116" s="111"/>
      <c r="F116" s="111"/>
      <c r="G116" s="111"/>
      <c r="H116" s="111"/>
    </row>
    <row r="117" spans="1:8" ht="15" thickBot="1" x14ac:dyDescent="0.35">
      <c r="A117" s="128" t="s">
        <v>345</v>
      </c>
      <c r="B117" s="112"/>
      <c r="C117" s="39" t="s">
        <v>19</v>
      </c>
      <c r="D117" s="11" t="s">
        <v>20</v>
      </c>
      <c r="E117" s="32" t="s">
        <v>12</v>
      </c>
      <c r="F117" s="32" t="s">
        <v>13</v>
      </c>
      <c r="G117" s="32" t="s">
        <v>14</v>
      </c>
      <c r="H117" s="32" t="s">
        <v>15</v>
      </c>
    </row>
    <row r="118" spans="1:8" ht="15" thickBot="1" x14ac:dyDescent="0.35">
      <c r="A118" s="129" t="s">
        <v>18</v>
      </c>
      <c r="B118" s="127" t="s">
        <v>323</v>
      </c>
      <c r="C118" s="127"/>
      <c r="D118" s="127"/>
      <c r="E118" s="127"/>
      <c r="F118" s="127"/>
      <c r="G118" s="127"/>
      <c r="H118" s="127"/>
    </row>
    <row r="119" spans="1:8" x14ac:dyDescent="0.3">
      <c r="A119" s="129"/>
      <c r="B119" s="13" t="s">
        <v>324</v>
      </c>
      <c r="C119" s="13" t="s">
        <v>325</v>
      </c>
      <c r="D119" s="15"/>
      <c r="E119" s="16">
        <f>F119 + G119 + H119</f>
        <v>0</v>
      </c>
      <c r="F119" s="17">
        <f>D119 * 0.1527344727</f>
        <v>0</v>
      </c>
      <c r="G119" s="17">
        <f>D119 * 0.0020078444</f>
        <v>0</v>
      </c>
      <c r="H119" s="17">
        <f>D119 * 0.0046067426</f>
        <v>0</v>
      </c>
    </row>
    <row r="120" spans="1:8" x14ac:dyDescent="0.3">
      <c r="A120" s="129"/>
      <c r="B120" s="13" t="s">
        <v>326</v>
      </c>
      <c r="C120" s="13" t="s">
        <v>325</v>
      </c>
      <c r="D120" s="19"/>
      <c r="E120" s="16">
        <f>F120 + G120 + H120</f>
        <v>0</v>
      </c>
      <c r="F120" s="17">
        <f>D120 * 0.1580719677</f>
        <v>0</v>
      </c>
      <c r="G120" s="17">
        <f>D120 * 0.002078011</f>
        <v>0</v>
      </c>
      <c r="H120" s="17">
        <f>D120 * 0.0047677309</f>
        <v>0</v>
      </c>
    </row>
    <row r="121" spans="1:8" x14ac:dyDescent="0.3">
      <c r="A121" s="129"/>
      <c r="B121" s="13" t="s">
        <v>327</v>
      </c>
      <c r="C121" s="13" t="s">
        <v>325</v>
      </c>
      <c r="D121" s="19"/>
      <c r="E121" s="16">
        <f>F121 + G121 + H121</f>
        <v>0</v>
      </c>
      <c r="F121" s="17">
        <f>D121 * 0.1779849299</f>
        <v>0</v>
      </c>
      <c r="G121" s="17">
        <f>D121 * 0.0023397864</f>
        <v>0</v>
      </c>
      <c r="H121" s="17">
        <f>D121 * 0.0053683411</f>
        <v>0</v>
      </c>
    </row>
    <row r="122" spans="1:8" x14ac:dyDescent="0.3">
      <c r="A122" s="129"/>
      <c r="B122" s="13" t="s">
        <v>328</v>
      </c>
      <c r="C122" s="13" t="s">
        <v>325</v>
      </c>
      <c r="D122" s="19"/>
      <c r="E122" s="16">
        <f>F122 + G122 + H122</f>
        <v>0</v>
      </c>
      <c r="F122" s="17">
        <f>D122 * 0.1976926038</f>
        <v>0</v>
      </c>
      <c r="G122" s="17">
        <f>D122 * 0.0025988631</f>
        <v>0</v>
      </c>
      <c r="H122" s="17">
        <f>D122 * 0.0059627595</f>
        <v>0</v>
      </c>
    </row>
    <row r="123" spans="1:8" ht="15" thickBot="1" x14ac:dyDescent="0.35">
      <c r="A123" s="129"/>
      <c r="B123" s="13" t="s">
        <v>329</v>
      </c>
      <c r="C123" s="13" t="s">
        <v>325</v>
      </c>
      <c r="D123" s="22"/>
      <c r="E123" s="16">
        <f>F123 + G123 + H123</f>
        <v>0</v>
      </c>
      <c r="F123" s="17">
        <f>D123 * 0.2364920868</f>
        <v>0</v>
      </c>
      <c r="G123" s="17">
        <f>D123 * 0.0031089204</f>
        <v>0</v>
      </c>
      <c r="H123" s="17">
        <f>D123 * 0.0071330207</f>
        <v>0</v>
      </c>
    </row>
    <row r="124" spans="1:8" ht="15" thickBot="1" x14ac:dyDescent="0.35">
      <c r="A124" s="129"/>
      <c r="B124" s="127" t="s">
        <v>330</v>
      </c>
      <c r="C124" s="127"/>
      <c r="D124" s="127"/>
      <c r="E124" s="127"/>
      <c r="F124" s="127"/>
      <c r="G124" s="127"/>
      <c r="H124" s="127"/>
    </row>
    <row r="125" spans="1:8" x14ac:dyDescent="0.3">
      <c r="A125" s="129"/>
      <c r="B125" s="13" t="s">
        <v>324</v>
      </c>
      <c r="C125" s="13" t="s">
        <v>325</v>
      </c>
      <c r="D125" s="15"/>
      <c r="E125" s="16">
        <f>F125 + G125 + H125</f>
        <v>0</v>
      </c>
      <c r="F125" s="17">
        <f>D125 * 0.1750218239</f>
        <v>0</v>
      </c>
      <c r="G125" s="17">
        <f>D125 * 0.000261455</f>
        <v>0</v>
      </c>
      <c r="H125" s="17">
        <f>D125 * 0.0024744848</f>
        <v>0</v>
      </c>
    </row>
    <row r="126" spans="1:8" x14ac:dyDescent="0.3">
      <c r="A126" s="129"/>
      <c r="B126" s="13" t="s">
        <v>326</v>
      </c>
      <c r="C126" s="13" t="s">
        <v>325</v>
      </c>
      <c r="D126" s="19"/>
      <c r="E126" s="16">
        <f>F126 + G126 + H126</f>
        <v>0</v>
      </c>
      <c r="F126" s="17">
        <f>D126 * 0.1684259149</f>
        <v>0</v>
      </c>
      <c r="G126" s="17">
        <f>D126 * 0.0002516017</f>
        <v>0</v>
      </c>
      <c r="H126" s="17">
        <f>D126 * 0.0023812308</f>
        <v>0</v>
      </c>
    </row>
    <row r="127" spans="1:8" x14ac:dyDescent="0.3">
      <c r="A127" s="129"/>
      <c r="B127" s="13" t="s">
        <v>327</v>
      </c>
      <c r="C127" s="13" t="s">
        <v>325</v>
      </c>
      <c r="D127" s="19"/>
      <c r="E127" s="16">
        <f>F127 + G127 + H127</f>
        <v>0</v>
      </c>
      <c r="F127" s="17">
        <f>D127 * 0.178511851</f>
        <v>0</v>
      </c>
      <c r="G127" s="17">
        <f>D127 * 0.0002666685</f>
        <v>0</v>
      </c>
      <c r="H127" s="17">
        <f>D127 * 0.0025238273</f>
        <v>0</v>
      </c>
    </row>
    <row r="128" spans="1:8" x14ac:dyDescent="0.3">
      <c r="A128" s="129"/>
      <c r="B128" s="13" t="s">
        <v>331</v>
      </c>
      <c r="C128" s="13" t="s">
        <v>325</v>
      </c>
      <c r="D128" s="19"/>
      <c r="E128" s="16">
        <f>F128 + G128 + H128</f>
        <v>0</v>
      </c>
      <c r="F128" s="17">
        <f>D128 * 0.2193244639</f>
        <v>0</v>
      </c>
      <c r="G128" s="17">
        <f>D128 * 0.0003276361</f>
        <v>0</v>
      </c>
      <c r="H128" s="17">
        <f>D128 * 0.0031008421</f>
        <v>0</v>
      </c>
    </row>
    <row r="129" spans="1:8" ht="15" thickBot="1" x14ac:dyDescent="0.35">
      <c r="A129" s="129"/>
      <c r="B129" s="13" t="s">
        <v>329</v>
      </c>
      <c r="C129" s="13" t="s">
        <v>325</v>
      </c>
      <c r="D129" s="22"/>
      <c r="E129" s="16">
        <f>F129 + G129 + H129</f>
        <v>0</v>
      </c>
      <c r="F129" s="17">
        <f>D129 * 0.243289639</f>
        <v>0</v>
      </c>
      <c r="G129" s="17">
        <f>D129 * 0.0003634363</f>
        <v>0</v>
      </c>
      <c r="H129" s="17">
        <f>D129 * 0.0034396654</f>
        <v>0</v>
      </c>
    </row>
    <row r="130" spans="1:8" ht="15" thickBot="1" x14ac:dyDescent="0.35">
      <c r="A130" s="129"/>
      <c r="B130" s="127" t="s">
        <v>332</v>
      </c>
      <c r="C130" s="127"/>
      <c r="D130" s="127"/>
      <c r="E130" s="127"/>
      <c r="F130" s="127"/>
      <c r="G130" s="127"/>
      <c r="H130" s="127"/>
    </row>
    <row r="131" spans="1:8" x14ac:dyDescent="0.3">
      <c r="A131" s="129"/>
      <c r="B131" s="13" t="s">
        <v>324</v>
      </c>
      <c r="C131" s="13" t="s">
        <v>325</v>
      </c>
      <c r="D131" s="15"/>
      <c r="E131" s="16">
        <f>F131 + G131 + H131</f>
        <v>0</v>
      </c>
      <c r="F131" s="17">
        <f>D131 * 0.1205394354</f>
        <v>0</v>
      </c>
      <c r="G131" s="17">
        <f>D131 * 0.0015846091</f>
        <v>0</v>
      </c>
      <c r="H131" s="17">
        <f>D131 * 0.0036356831</f>
        <v>0</v>
      </c>
    </row>
    <row r="132" spans="1:8" x14ac:dyDescent="0.3">
      <c r="A132" s="129"/>
      <c r="B132" s="13" t="s">
        <v>326</v>
      </c>
      <c r="C132" s="13" t="s">
        <v>325</v>
      </c>
      <c r="D132" s="19"/>
      <c r="E132" s="16">
        <f>F132 + G132 + H132</f>
        <v>0</v>
      </c>
      <c r="F132" s="17">
        <f>D132 * 0.124751835</f>
        <v>0</v>
      </c>
      <c r="G132" s="17">
        <f>D132 * 0.0016399852</f>
        <v>0</v>
      </c>
      <c r="H132" s="17">
        <f>D132 * 0.0037627366</f>
        <v>0</v>
      </c>
    </row>
    <row r="133" spans="1:8" x14ac:dyDescent="0.3">
      <c r="A133" s="129"/>
      <c r="B133" s="13" t="s">
        <v>327</v>
      </c>
      <c r="C133" s="13" t="s">
        <v>325</v>
      </c>
      <c r="D133" s="19"/>
      <c r="E133" s="16">
        <f>F133 + G133 + H133</f>
        <v>0</v>
      </c>
      <c r="F133" s="17">
        <f>D133 * 0.1404673259</f>
        <v>0</v>
      </c>
      <c r="G133" s="17">
        <f>D133 * 0.0018465807</f>
        <v>0</v>
      </c>
      <c r="H133" s="17">
        <f>D133 * 0.0042367437</f>
        <v>0</v>
      </c>
    </row>
    <row r="134" spans="1:8" x14ac:dyDescent="0.3">
      <c r="A134" s="129"/>
      <c r="B134" s="13" t="s">
        <v>331</v>
      </c>
      <c r="C134" s="13" t="s">
        <v>325</v>
      </c>
      <c r="D134" s="19"/>
      <c r="E134" s="16">
        <f>F134 + G134 + H134</f>
        <v>0</v>
      </c>
      <c r="F134" s="17">
        <f>D134 * 0.1560208014</f>
        <v>0</v>
      </c>
      <c r="G134" s="17">
        <f>D134 * 0.0020510464</f>
        <v>0</v>
      </c>
      <c r="H134" s="17">
        <f>D134 * 0.0047058641</f>
        <v>0</v>
      </c>
    </row>
    <row r="135" spans="1:8" ht="15" thickBot="1" x14ac:dyDescent="0.35">
      <c r="A135" s="129"/>
      <c r="B135" s="13" t="s">
        <v>329</v>
      </c>
      <c r="C135" s="13" t="s">
        <v>325</v>
      </c>
      <c r="D135" s="22"/>
      <c r="E135" s="16">
        <f>F135 + G135 + H135</f>
        <v>0</v>
      </c>
      <c r="F135" s="17">
        <f>D135 * 0.1866417064</f>
        <v>0</v>
      </c>
      <c r="G135" s="17">
        <f>D135 * 0.0024535882</f>
        <v>0</v>
      </c>
      <c r="H135" s="17">
        <f>D135 * 0.0056294449</f>
        <v>0</v>
      </c>
    </row>
    <row r="136" spans="1:8" ht="15" thickBot="1" x14ac:dyDescent="0.35">
      <c r="A136" s="129"/>
      <c r="B136" s="127" t="s">
        <v>333</v>
      </c>
      <c r="C136" s="127"/>
      <c r="D136" s="127"/>
      <c r="E136" s="127"/>
      <c r="F136" s="127"/>
      <c r="G136" s="127"/>
      <c r="H136" s="127"/>
    </row>
    <row r="137" spans="1:8" x14ac:dyDescent="0.3">
      <c r="A137" s="129"/>
      <c r="B137" s="13" t="s">
        <v>324</v>
      </c>
      <c r="C137" s="13" t="s">
        <v>325</v>
      </c>
      <c r="D137" s="15"/>
      <c r="E137" s="16">
        <f>F137 + G137 + H137</f>
        <v>0</v>
      </c>
      <c r="F137" s="17">
        <f>D137 * 0.1548345179</f>
        <v>0</v>
      </c>
      <c r="G137" s="17">
        <f>D137 * 0.0002312983</f>
        <v>0</v>
      </c>
      <c r="H137" s="17">
        <f>D137 * 0.0021890736</f>
        <v>0</v>
      </c>
    </row>
    <row r="138" spans="1:8" x14ac:dyDescent="0.3">
      <c r="A138" s="129"/>
      <c r="B138" s="13" t="s">
        <v>326</v>
      </c>
      <c r="C138" s="13" t="s">
        <v>325</v>
      </c>
      <c r="D138" s="19"/>
      <c r="E138" s="16">
        <f>F138 + G138 + H138</f>
        <v>0</v>
      </c>
      <c r="F138" s="17">
        <f>D138 * 0.1489993919</f>
        <v>0</v>
      </c>
      <c r="G138" s="17">
        <f>D138 * 0.0002225816</f>
        <v>0</v>
      </c>
      <c r="H138" s="17">
        <f>D138 * 0.0021065757</f>
        <v>0</v>
      </c>
    </row>
    <row r="139" spans="1:8" x14ac:dyDescent="0.3">
      <c r="A139" s="129"/>
      <c r="B139" s="13" t="s">
        <v>327</v>
      </c>
      <c r="C139" s="13" t="s">
        <v>325</v>
      </c>
      <c r="D139" s="19"/>
      <c r="E139" s="16">
        <f>F139 + G139 + H139</f>
        <v>0</v>
      </c>
      <c r="F139" s="17">
        <f>D139 * 0.1579219995</f>
        <v>0</v>
      </c>
      <c r="G139" s="17">
        <f>D139 * 0.0002359106</f>
        <v>0</v>
      </c>
      <c r="H139" s="17">
        <f>D139 * 0.0022327249</f>
        <v>0</v>
      </c>
    </row>
    <row r="140" spans="1:8" x14ac:dyDescent="0.3">
      <c r="A140" s="129"/>
      <c r="B140" s="13" t="s">
        <v>331</v>
      </c>
      <c r="C140" s="13" t="s">
        <v>325</v>
      </c>
      <c r="D140" s="19"/>
      <c r="E140" s="16">
        <f>F140 + G140 + H140</f>
        <v>0</v>
      </c>
      <c r="F140" s="17">
        <f>D140 * 0.1941456535</f>
        <v>0</v>
      </c>
      <c r="G140" s="17">
        <f>D140 * 0.000290023</f>
        <v>0</v>
      </c>
      <c r="H140" s="17">
        <f>D140 * 0.0027448603</f>
        <v>0</v>
      </c>
    </row>
    <row r="141" spans="1:8" ht="15" thickBot="1" x14ac:dyDescent="0.35">
      <c r="A141" s="129"/>
      <c r="B141" s="13" t="s">
        <v>329</v>
      </c>
      <c r="C141" s="13" t="s">
        <v>325</v>
      </c>
      <c r="D141" s="22"/>
      <c r="E141" s="16">
        <f>F141 + G141 + H141</f>
        <v>0</v>
      </c>
      <c r="F141" s="17">
        <f>D141 * 0.215359587</f>
        <v>0</v>
      </c>
      <c r="G141" s="17">
        <f>D141 * 0.0003217132</f>
        <v>0</v>
      </c>
      <c r="H141" s="17">
        <f>D141 * 0.0030447861</f>
        <v>0</v>
      </c>
    </row>
    <row r="142" spans="1:8" ht="15" thickBot="1" x14ac:dyDescent="0.35">
      <c r="A142" s="129"/>
      <c r="B142" s="127" t="s">
        <v>338</v>
      </c>
      <c r="C142" s="127"/>
      <c r="D142" s="127"/>
      <c r="E142" s="127"/>
      <c r="F142" s="127"/>
      <c r="G142" s="127"/>
      <c r="H142" s="127"/>
    </row>
    <row r="143" spans="1:8" x14ac:dyDescent="0.3">
      <c r="A143" s="129"/>
      <c r="B143" s="13" t="s">
        <v>324</v>
      </c>
      <c r="C143" s="13" t="s">
        <v>325</v>
      </c>
      <c r="D143" s="15"/>
      <c r="E143" s="16">
        <f>F143 + G143 + H143</f>
        <v>0</v>
      </c>
      <c r="F143" s="17">
        <f>D143 * 0.0630823045</f>
        <v>0</v>
      </c>
      <c r="G143" s="17">
        <f>D143 * 0.0008292787</f>
        <v>0</v>
      </c>
      <c r="H143" s="17">
        <f>D143 * 0.0019026742</f>
        <v>0</v>
      </c>
    </row>
    <row r="144" spans="1:8" x14ac:dyDescent="0.3">
      <c r="A144" s="129"/>
      <c r="B144" s="13" t="s">
        <v>326</v>
      </c>
      <c r="C144" s="13" t="s">
        <v>325</v>
      </c>
      <c r="D144" s="19"/>
      <c r="E144" s="16">
        <f>F144 + G144 + H144</f>
        <v>0</v>
      </c>
      <c r="F144" s="17">
        <f>D144 * 0.0652867937</f>
        <v>0</v>
      </c>
      <c r="G144" s="17">
        <f>D144 * 0.0008582589</f>
        <v>0</v>
      </c>
      <c r="H144" s="17">
        <f>D144 * 0.0019691655</f>
        <v>0</v>
      </c>
    </row>
    <row r="145" spans="1:8" x14ac:dyDescent="0.3">
      <c r="A145" s="129"/>
      <c r="B145" s="13" t="s">
        <v>327</v>
      </c>
      <c r="C145" s="13" t="s">
        <v>325</v>
      </c>
      <c r="D145" s="19"/>
      <c r="E145" s="16">
        <f>F145 + G145 + H145</f>
        <v>0</v>
      </c>
      <c r="F145" s="17">
        <f>D145 * 0.0735112339</f>
        <v>0</v>
      </c>
      <c r="G145" s="17">
        <f>D145 * 0.0009663772</f>
        <v>0</v>
      </c>
      <c r="H145" s="17">
        <f>D145 * 0.0022172292</f>
        <v>0</v>
      </c>
    </row>
    <row r="146" spans="1:8" x14ac:dyDescent="0.3">
      <c r="A146" s="129"/>
      <c r="B146" s="13" t="s">
        <v>331</v>
      </c>
      <c r="C146" s="13" t="s">
        <v>325</v>
      </c>
      <c r="D146" s="19"/>
      <c r="E146" s="16">
        <f>F146 + G146 + H146</f>
        <v>0</v>
      </c>
      <c r="F146" s="17">
        <f>D146 * 0.0816508861</f>
        <v>0</v>
      </c>
      <c r="G146" s="17">
        <f>D146 * 0.001073381</f>
        <v>0</v>
      </c>
      <c r="H146" s="17">
        <f>D146 * 0.0024627355</f>
        <v>0</v>
      </c>
    </row>
    <row r="147" spans="1:8" ht="15" thickBot="1" x14ac:dyDescent="0.35">
      <c r="A147" s="129"/>
      <c r="B147" s="13" t="s">
        <v>329</v>
      </c>
      <c r="C147" s="13" t="s">
        <v>325</v>
      </c>
      <c r="D147" s="22"/>
      <c r="E147" s="16">
        <f>F147 + G147 + H147</f>
        <v>0</v>
      </c>
      <c r="F147" s="17">
        <f>D147 * 0.0976758263</f>
        <v>0</v>
      </c>
      <c r="G147" s="17">
        <f>D147 * 0.0012840445</f>
        <v>0</v>
      </c>
      <c r="H147" s="17">
        <f>D147 * 0.0029460761</f>
        <v>0</v>
      </c>
    </row>
    <row r="148" spans="1:8" ht="15" thickBot="1" x14ac:dyDescent="0.35">
      <c r="A148" s="129"/>
      <c r="B148" s="127" t="s">
        <v>339</v>
      </c>
      <c r="C148" s="127"/>
      <c r="D148" s="127"/>
      <c r="E148" s="127"/>
      <c r="F148" s="127"/>
      <c r="G148" s="127"/>
      <c r="H148" s="127"/>
    </row>
    <row r="149" spans="1:8" x14ac:dyDescent="0.3">
      <c r="A149" s="129"/>
      <c r="B149" s="13" t="s">
        <v>324</v>
      </c>
      <c r="C149" s="13" t="s">
        <v>325</v>
      </c>
      <c r="D149" s="15"/>
      <c r="E149" s="16">
        <f>F149 + G149 + H149</f>
        <v>0</v>
      </c>
      <c r="F149" s="17">
        <f>D149 * 0.0067515657</f>
        <v>0</v>
      </c>
      <c r="G149" s="17">
        <f>D149 * 0.0001816699</f>
        <v>0</v>
      </c>
      <c r="H149" s="17">
        <f>D149 * 0.0000148429</f>
        <v>0</v>
      </c>
    </row>
    <row r="150" spans="1:8" x14ac:dyDescent="0.3">
      <c r="A150" s="129"/>
      <c r="B150" s="13" t="s">
        <v>326</v>
      </c>
      <c r="C150" s="13" t="s">
        <v>325</v>
      </c>
      <c r="D150" s="19"/>
      <c r="E150" s="16">
        <f>F150 + G150 + H150</f>
        <v>0</v>
      </c>
      <c r="F150" s="17">
        <f>D150 * 0.0069875075</f>
        <v>0</v>
      </c>
      <c r="G150" s="17">
        <f>D150 * 0.0001880186</f>
        <v>0</v>
      </c>
      <c r="H150" s="17">
        <f>D150 * 0.0000153616</f>
        <v>0</v>
      </c>
    </row>
    <row r="151" spans="1:8" x14ac:dyDescent="0.3">
      <c r="A151" s="129"/>
      <c r="B151" s="13" t="s">
        <v>327</v>
      </c>
      <c r="C151" s="13" t="s">
        <v>325</v>
      </c>
      <c r="D151" s="19"/>
      <c r="E151" s="16">
        <f>F151 + G151 + H151</f>
        <v>0</v>
      </c>
      <c r="F151" s="17">
        <f>D151 * 0.0078677519</f>
        <v>0</v>
      </c>
      <c r="G151" s="17">
        <f>D151 * 0.000211704</f>
        <v>0</v>
      </c>
      <c r="H151" s="17">
        <f>D151 * 0.0000172968</f>
        <v>0</v>
      </c>
    </row>
    <row r="152" spans="1:8" x14ac:dyDescent="0.3">
      <c r="A152" s="129"/>
      <c r="B152" s="13" t="s">
        <v>331</v>
      </c>
      <c r="C152" s="13" t="s">
        <v>325</v>
      </c>
      <c r="D152" s="19"/>
      <c r="E152" s="16">
        <f>F152 + G152 + H152</f>
        <v>0</v>
      </c>
      <c r="F152" s="17">
        <f>D152 * 0.0087389217</f>
        <v>0</v>
      </c>
      <c r="G152" s="17">
        <f>D152 * 0.0002351453</f>
        <v>0</v>
      </c>
      <c r="H152" s="17">
        <f>D152 * 0.000019212</f>
        <v>0</v>
      </c>
    </row>
    <row r="153" spans="1:8" ht="15" thickBot="1" x14ac:dyDescent="0.35">
      <c r="A153" s="129"/>
      <c r="B153" s="13" t="s">
        <v>329</v>
      </c>
      <c r="C153" s="13" t="s">
        <v>325</v>
      </c>
      <c r="D153" s="22"/>
      <c r="E153" s="16">
        <f>F153 + G153 + H153</f>
        <v>0</v>
      </c>
      <c r="F153" s="17">
        <f>D153 * 0.0104540371</f>
        <v>0</v>
      </c>
      <c r="G153" s="17">
        <f>D153 * 0.0002812953</f>
        <v>0</v>
      </c>
      <c r="H153" s="17">
        <f>D153 * 0.0000229826</f>
        <v>0</v>
      </c>
    </row>
    <row r="154" spans="1:8" ht="15" thickBot="1" x14ac:dyDescent="0.35">
      <c r="A154" s="129"/>
      <c r="B154" s="127" t="s">
        <v>340</v>
      </c>
      <c r="C154" s="127"/>
      <c r="D154" s="127"/>
      <c r="E154" s="127"/>
      <c r="F154" s="127"/>
      <c r="G154" s="127"/>
      <c r="H154" s="127"/>
    </row>
    <row r="155" spans="1:8" x14ac:dyDescent="0.3">
      <c r="A155" s="129"/>
      <c r="B155" s="13" t="s">
        <v>324</v>
      </c>
      <c r="C155" s="13" t="s">
        <v>325</v>
      </c>
      <c r="D155" s="15"/>
      <c r="E155" s="16">
        <f>F155 + G155 + H155</f>
        <v>0</v>
      </c>
      <c r="F155" s="17">
        <f>D155 * 0.0810300644</f>
        <v>0</v>
      </c>
      <c r="G155" s="17">
        <f>D155 * 0.0001210461</f>
        <v>0</v>
      </c>
      <c r="H155" s="17">
        <f>D155 * 0.0011456152</f>
        <v>0</v>
      </c>
    </row>
    <row r="156" spans="1:8" x14ac:dyDescent="0.3">
      <c r="A156" s="129"/>
      <c r="B156" s="13" t="s">
        <v>326</v>
      </c>
      <c r="C156" s="13" t="s">
        <v>325</v>
      </c>
      <c r="D156" s="19"/>
      <c r="E156" s="16">
        <f>F156 + G156 + H156</f>
        <v>0</v>
      </c>
      <c r="F156" s="17">
        <f>D156 * 0.0779763484</f>
        <v>0</v>
      </c>
      <c r="G156" s="17">
        <f>D156 * 0.0001164844</f>
        <v>0</v>
      </c>
      <c r="H156" s="17">
        <f>D156 * 0.0011024413</f>
        <v>0</v>
      </c>
    </row>
    <row r="157" spans="1:8" x14ac:dyDescent="0.3">
      <c r="A157" s="129"/>
      <c r="B157" s="13" t="s">
        <v>327</v>
      </c>
      <c r="C157" s="13" t="s">
        <v>325</v>
      </c>
      <c r="D157" s="19"/>
      <c r="E157" s="16">
        <f>F157 + G157 + H157</f>
        <v>0</v>
      </c>
      <c r="F157" s="17">
        <f>D157 * 0.0826458464</f>
        <v>0</v>
      </c>
      <c r="G157" s="17">
        <f>D157 * 0.0001234599</f>
        <v>0</v>
      </c>
      <c r="H157" s="17">
        <f>D157 * 0.0011684594</f>
        <v>0</v>
      </c>
    </row>
    <row r="158" spans="1:8" x14ac:dyDescent="0.3">
      <c r="A158" s="129"/>
      <c r="B158" s="13" t="s">
        <v>331</v>
      </c>
      <c r="C158" s="13" t="s">
        <v>325</v>
      </c>
      <c r="D158" s="19"/>
      <c r="E158" s="16">
        <f>F158 + G158 + H158</f>
        <v>0</v>
      </c>
      <c r="F158" s="17">
        <f>D158 * 0.101602892</f>
        <v>0</v>
      </c>
      <c r="G158" s="17">
        <f>D158 * 0.0001517787</f>
        <v>0</v>
      </c>
      <c r="H158" s="17">
        <f>D158 * 0.0014364769</f>
        <v>0</v>
      </c>
    </row>
    <row r="159" spans="1:8" ht="15" thickBot="1" x14ac:dyDescent="0.35">
      <c r="A159" s="129"/>
      <c r="B159" s="13" t="s">
        <v>329</v>
      </c>
      <c r="C159" s="13" t="s">
        <v>325</v>
      </c>
      <c r="D159" s="22"/>
      <c r="E159" s="16">
        <f>F159 + G159 + H159</f>
        <v>0</v>
      </c>
      <c r="F159" s="17">
        <f>D159 * 0.1127048505</f>
        <v>0</v>
      </c>
      <c r="G159" s="17">
        <f>D159 * 0.0001683633</f>
        <v>0</v>
      </c>
      <c r="H159" s="17">
        <f>D159 * 0.0015934381</f>
        <v>0</v>
      </c>
    </row>
    <row r="160" spans="1:8" ht="15" thickBot="1" x14ac:dyDescent="0.35">
      <c r="A160" s="129"/>
      <c r="B160" s="127" t="s">
        <v>341</v>
      </c>
      <c r="C160" s="127"/>
      <c r="D160" s="127"/>
      <c r="E160" s="127"/>
      <c r="F160" s="127"/>
      <c r="G160" s="127"/>
      <c r="H160" s="127"/>
    </row>
    <row r="161" spans="1:8" x14ac:dyDescent="0.3">
      <c r="A161" s="129"/>
      <c r="B161" s="13" t="s">
        <v>324</v>
      </c>
      <c r="C161" s="13" t="s">
        <v>325</v>
      </c>
      <c r="D161" s="15"/>
      <c r="E161" s="16">
        <f>F161 + G161 + H161</f>
        <v>0</v>
      </c>
      <c r="F161" s="17">
        <f>D161 * 0.0073638347</f>
        <v>0</v>
      </c>
      <c r="G161" s="17">
        <f>D161 * 0.0001981447</f>
        <v>0</v>
      </c>
      <c r="H161" s="17">
        <f>D161 * 0.0000161889</f>
        <v>0</v>
      </c>
    </row>
    <row r="162" spans="1:8" x14ac:dyDescent="0.3">
      <c r="A162" s="129"/>
      <c r="B162" s="13" t="s">
        <v>326</v>
      </c>
      <c r="C162" s="13" t="s">
        <v>325</v>
      </c>
      <c r="D162" s="19"/>
      <c r="E162" s="16">
        <f>F162 + G162 + H162</f>
        <v>0</v>
      </c>
      <c r="F162" s="17">
        <f>D162 * 0.0070727188</f>
        <v>0</v>
      </c>
      <c r="G162" s="17">
        <f>D162 * 0.0001903114</f>
        <v>0</v>
      </c>
      <c r="H162" s="17">
        <f>D162 * 0.0000155489</f>
        <v>0</v>
      </c>
    </row>
    <row r="163" spans="1:8" x14ac:dyDescent="0.3">
      <c r="A163" s="129"/>
      <c r="B163" s="13" t="s">
        <v>327</v>
      </c>
      <c r="C163" s="13" t="s">
        <v>325</v>
      </c>
      <c r="D163" s="19"/>
      <c r="E163" s="16">
        <f>F163 + G163 + H163</f>
        <v>0</v>
      </c>
      <c r="F163" s="17">
        <f>D163 * 0.0077495088</f>
        <v>0</v>
      </c>
      <c r="G163" s="17">
        <f>D163 * 0.0002085224</f>
        <v>0</v>
      </c>
      <c r="H163" s="17">
        <f>D163 * 0.0000170368</f>
        <v>0</v>
      </c>
    </row>
    <row r="164" spans="1:8" x14ac:dyDescent="0.3">
      <c r="A164" s="129"/>
      <c r="B164" s="13" t="s">
        <v>331</v>
      </c>
      <c r="C164" s="13" t="s">
        <v>325</v>
      </c>
      <c r="D164" s="19"/>
      <c r="E164" s="16">
        <f>F164 + G164 + H164</f>
        <v>0</v>
      </c>
      <c r="F164" s="17">
        <f>D164 * 0.0087713183</f>
        <v>0</v>
      </c>
      <c r="G164" s="17">
        <f>D164 * 0.000236017</f>
        <v>0</v>
      </c>
      <c r="H164" s="17">
        <f>D164 * 0.0000192832</f>
        <v>0</v>
      </c>
    </row>
    <row r="165" spans="1:8" ht="15" thickBot="1" x14ac:dyDescent="0.35">
      <c r="A165" s="129"/>
      <c r="B165" s="13" t="s">
        <v>329</v>
      </c>
      <c r="C165" s="13" t="s">
        <v>325</v>
      </c>
      <c r="D165" s="22"/>
      <c r="E165" s="16">
        <f>F165 + G165 + H165</f>
        <v>0</v>
      </c>
      <c r="F165" s="17">
        <f>D165 * 0.0103741799</f>
        <v>0</v>
      </c>
      <c r="G165" s="17">
        <f>D165 * 0.0002791465</f>
        <v>0</v>
      </c>
      <c r="H165" s="17">
        <f>D165 * 0.000022807</f>
        <v>0</v>
      </c>
    </row>
    <row r="166" spans="1:8" ht="15" thickBot="1" x14ac:dyDescent="0.35">
      <c r="A166" s="129"/>
      <c r="B166" s="127" t="s">
        <v>342</v>
      </c>
      <c r="C166" s="127"/>
      <c r="D166" s="127"/>
      <c r="E166" s="127"/>
      <c r="F166" s="127"/>
      <c r="G166" s="127"/>
      <c r="H166" s="127"/>
    </row>
    <row r="167" spans="1:8" x14ac:dyDescent="0.3">
      <c r="A167" s="129"/>
      <c r="B167" s="13" t="s">
        <v>324</v>
      </c>
      <c r="C167" s="13" t="s">
        <v>325</v>
      </c>
      <c r="D167" s="15"/>
      <c r="E167" s="16">
        <f>F167 + G167 + H167</f>
        <v>0</v>
      </c>
      <c r="F167" s="17">
        <f>D167 * 0.0141641237</f>
        <v>0</v>
      </c>
      <c r="G167" s="17">
        <f>D167 * 0.0003811256</f>
        <v>0</v>
      </c>
      <c r="H167" s="17">
        <f>D167 * 0.000031139</f>
        <v>0</v>
      </c>
    </row>
    <row r="168" spans="1:8" x14ac:dyDescent="0.3">
      <c r="A168" s="129"/>
      <c r="B168" s="13" t="s">
        <v>326</v>
      </c>
      <c r="C168" s="13" t="s">
        <v>325</v>
      </c>
      <c r="D168" s="19"/>
      <c r="E168" s="16">
        <f>F168 + G168 + H168</f>
        <v>0</v>
      </c>
      <c r="F168" s="17">
        <f>D168 * 0.0146591066</f>
        <v>0</v>
      </c>
      <c r="G168" s="17">
        <f>D168 * 0.0003944445</f>
        <v>0</v>
      </c>
      <c r="H168" s="17">
        <f>D168 * 0.0000322272</f>
        <v>0</v>
      </c>
    </row>
    <row r="169" spans="1:8" x14ac:dyDescent="0.3">
      <c r="A169" s="129"/>
      <c r="B169" s="13" t="s">
        <v>327</v>
      </c>
      <c r="C169" s="13" t="s">
        <v>325</v>
      </c>
      <c r="D169" s="19"/>
      <c r="E169" s="16">
        <f>F169 + G169 + H169</f>
        <v>0</v>
      </c>
      <c r="F169" s="17">
        <f>D169 * 0.0165057732</f>
        <v>0</v>
      </c>
      <c r="G169" s="17">
        <f>D169 * 0.0004441343</f>
        <v>0</v>
      </c>
      <c r="H169" s="17">
        <f>D169 * 0.0000362869</f>
        <v>0</v>
      </c>
    </row>
    <row r="170" spans="1:8" x14ac:dyDescent="0.3">
      <c r="A170" s="129"/>
      <c r="B170" s="13" t="s">
        <v>331</v>
      </c>
      <c r="C170" s="13" t="s">
        <v>325</v>
      </c>
      <c r="D170" s="19"/>
      <c r="E170" s="16">
        <f>F170 + G170 + H170</f>
        <v>0</v>
      </c>
      <c r="F170" s="17">
        <f>D170 * 0.0183334021</f>
        <v>0</v>
      </c>
      <c r="G170" s="17">
        <f>D170 * 0.0004933118</f>
        <v>0</v>
      </c>
      <c r="H170" s="17">
        <f>D170 * 0.0000403049</f>
        <v>0</v>
      </c>
    </row>
    <row r="171" spans="1:8" ht="15" thickBot="1" x14ac:dyDescent="0.35">
      <c r="A171" s="129"/>
      <c r="B171" s="13" t="s">
        <v>329</v>
      </c>
      <c r="C171" s="13" t="s">
        <v>325</v>
      </c>
      <c r="D171" s="22"/>
      <c r="E171" s="16">
        <f>F171 + G171 + H171</f>
        <v>0</v>
      </c>
      <c r="F171" s="17">
        <f>D171 * 0.0219315464</f>
        <v>0</v>
      </c>
      <c r="G171" s="17">
        <f>D171 * 0.00059013</f>
        <v>0</v>
      </c>
      <c r="H171" s="17">
        <f>D171 * 0.0000482152</f>
        <v>0</v>
      </c>
    </row>
    <row r="172" spans="1:8" ht="15" thickBot="1" x14ac:dyDescent="0.35">
      <c r="A172" s="129"/>
      <c r="B172" s="127" t="s">
        <v>334</v>
      </c>
      <c r="C172" s="127"/>
      <c r="D172" s="126"/>
      <c r="E172" s="127"/>
      <c r="F172" s="127"/>
      <c r="G172" s="127"/>
      <c r="H172" s="127"/>
    </row>
    <row r="173" spans="1:8" x14ac:dyDescent="0.3">
      <c r="A173" s="129"/>
      <c r="B173" s="13" t="s">
        <v>335</v>
      </c>
      <c r="C173" s="56" t="s">
        <v>325</v>
      </c>
      <c r="D173" s="15"/>
      <c r="E173" s="16">
        <f>F173 + G173 + H173</f>
        <v>0</v>
      </c>
      <c r="F173" s="17">
        <f>D173 * 0.0541429501</f>
        <v>0</v>
      </c>
      <c r="G173" s="17">
        <f>D173 * 0.0007117622</f>
        <v>0</v>
      </c>
      <c r="H173" s="17">
        <f>D173 * 0.0016330474</f>
        <v>0</v>
      </c>
    </row>
    <row r="174" spans="1:8" x14ac:dyDescent="0.3">
      <c r="A174" s="129"/>
      <c r="B174" s="13" t="s">
        <v>336</v>
      </c>
      <c r="C174" s="56" t="s">
        <v>325</v>
      </c>
      <c r="D174" s="19"/>
      <c r="E174" s="16">
        <f>F174 + G174 + H174</f>
        <v>0</v>
      </c>
      <c r="F174" s="17">
        <f>D174 * 0.1082859001</f>
        <v>0</v>
      </c>
      <c r="G174" s="17">
        <f>D174 * 0.0014235243</f>
        <v>0</v>
      </c>
      <c r="H174" s="17">
        <f>D174 * 0.0032660948</f>
        <v>0</v>
      </c>
    </row>
    <row r="175" spans="1:8" x14ac:dyDescent="0.3">
      <c r="A175" s="129"/>
      <c r="B175" s="13" t="s">
        <v>343</v>
      </c>
      <c r="C175" s="56" t="s">
        <v>325</v>
      </c>
      <c r="D175" s="19"/>
      <c r="E175" s="16">
        <f>F175 + G175 + H175</f>
        <v>0</v>
      </c>
      <c r="F175" s="17">
        <f>D175 * 0.0036100754</f>
        <v>0</v>
      </c>
      <c r="G175" s="17">
        <f>D175 * 0.0000971392</f>
        <v>0</v>
      </c>
      <c r="H175" s="17">
        <f>D175 * 0.0000079365</f>
        <v>0</v>
      </c>
    </row>
    <row r="176" spans="1:8" ht="15" thickBot="1" x14ac:dyDescent="0.35">
      <c r="A176" s="129"/>
      <c r="B176" s="13" t="s">
        <v>344</v>
      </c>
      <c r="C176" s="56" t="s">
        <v>325</v>
      </c>
      <c r="D176" s="22"/>
      <c r="E176" s="44">
        <f>F176 + G176 + H176</f>
        <v>0</v>
      </c>
      <c r="F176" s="45">
        <f>D176 * 0.0072201508</f>
        <v>0</v>
      </c>
      <c r="G176" s="45">
        <f>D176 * 0.0001942785</f>
        <v>0</v>
      </c>
      <c r="H176" s="45">
        <f>D176 * 0.0000158731</f>
        <v>0</v>
      </c>
    </row>
    <row r="177" spans="1:8" x14ac:dyDescent="0.3">
      <c r="A177" s="63"/>
      <c r="B177" s="26"/>
      <c r="C177" s="26"/>
      <c r="D177" s="27" t="s">
        <v>39</v>
      </c>
      <c r="E177" s="28">
        <f>SUM(E119:E123,E125:E129,E131:E135,E137:E141,E143:E147,E149:E153,E155:E159,E161:E165,E167:E171,E173:E176)</f>
        <v>0</v>
      </c>
      <c r="F177" s="29">
        <f>SUM(F119:F123,F125:F129,F131:F135,F137:F141,F143:F147,F149:F153,F155:F159,F161:F165,F167:F171,F173:F176)</f>
        <v>0</v>
      </c>
      <c r="G177" s="29">
        <f>SUM(G119:G123,G125:G129,G131:G135,G137:G141,G143:G147,G149:G153,G155:G159,G161:G165,G167:G171,G173:G176)</f>
        <v>0</v>
      </c>
      <c r="H177" s="29">
        <f>SUM(H119:H123,H125:H129,H131:H135,H137:H141,H143:H147,H149:H153,H155:H159,H161:H165,H167:H171,H173:H176)</f>
        <v>0</v>
      </c>
    </row>
    <row r="179" spans="1:8" ht="15" thickBot="1" x14ac:dyDescent="0.35">
      <c r="A179" s="111" t="s">
        <v>346</v>
      </c>
      <c r="B179" s="111"/>
      <c r="C179" s="111"/>
      <c r="D179" s="111"/>
      <c r="E179" s="111"/>
      <c r="F179" s="111"/>
      <c r="G179" s="111"/>
      <c r="H179" s="111"/>
    </row>
    <row r="180" spans="1:8" ht="15" thickBot="1" x14ac:dyDescent="0.35">
      <c r="A180" s="128" t="s">
        <v>18</v>
      </c>
      <c r="B180" s="137"/>
      <c r="C180" s="39" t="s">
        <v>19</v>
      </c>
      <c r="D180" s="11" t="s">
        <v>20</v>
      </c>
      <c r="E180" s="30" t="s">
        <v>347</v>
      </c>
      <c r="F180" s="30" t="s">
        <v>348</v>
      </c>
      <c r="G180" s="30" t="s">
        <v>349</v>
      </c>
      <c r="H180" s="30" t="s">
        <v>350</v>
      </c>
    </row>
    <row r="181" spans="1:8" x14ac:dyDescent="0.3">
      <c r="A181" s="139" t="s">
        <v>351</v>
      </c>
      <c r="B181" s="13" t="s">
        <v>352</v>
      </c>
      <c r="C181" s="23" t="s">
        <v>325</v>
      </c>
      <c r="D181" s="42"/>
      <c r="E181" s="16">
        <f t="shared" ref="E181:E204" si="1">F181 + G181 + H181</f>
        <v>0</v>
      </c>
      <c r="F181" s="17">
        <f>D181 * 0.2413055218</f>
        <v>0</v>
      </c>
      <c r="G181" s="17">
        <f>D181 * 0.0031721977</f>
        <v>0</v>
      </c>
      <c r="H181" s="17">
        <f>D181 * 0.0072782025</f>
        <v>0</v>
      </c>
    </row>
    <row r="182" spans="1:8" x14ac:dyDescent="0.3">
      <c r="A182" s="139"/>
      <c r="B182" s="13" t="s">
        <v>30</v>
      </c>
      <c r="C182" s="23" t="s">
        <v>325</v>
      </c>
      <c r="D182" s="19"/>
      <c r="E182" s="16">
        <f t="shared" si="1"/>
        <v>0</v>
      </c>
      <c r="F182" s="17">
        <f>D182 * 0.2642671711</f>
        <v>0</v>
      </c>
      <c r="G182" s="17">
        <f>D182 * 0.0003947735</f>
        <v>0</v>
      </c>
      <c r="H182" s="17">
        <f>D182 * 0.0037362489</f>
        <v>0</v>
      </c>
    </row>
    <row r="183" spans="1:8" x14ac:dyDescent="0.3">
      <c r="A183" s="139"/>
      <c r="B183" s="13" t="s">
        <v>353</v>
      </c>
      <c r="C183" s="23" t="s">
        <v>325</v>
      </c>
      <c r="D183" s="19"/>
      <c r="E183" s="16">
        <f t="shared" si="1"/>
        <v>0</v>
      </c>
      <c r="F183" s="17">
        <f>D183 * 0.1905043593</f>
        <v>0</v>
      </c>
      <c r="G183" s="17">
        <f>D183 * 0.0025043666</f>
        <v>0</v>
      </c>
      <c r="H183" s="17">
        <f>D183 * 0.0057459493</f>
        <v>0</v>
      </c>
    </row>
    <row r="184" spans="1:8" x14ac:dyDescent="0.3">
      <c r="A184" s="139"/>
      <c r="B184" s="13" t="s">
        <v>354</v>
      </c>
      <c r="C184" s="23" t="s">
        <v>325</v>
      </c>
      <c r="D184" s="19"/>
      <c r="E184" s="16">
        <f t="shared" si="1"/>
        <v>0</v>
      </c>
      <c r="F184" s="17">
        <f>D184 * 0.2368966427</f>
        <v>0</v>
      </c>
      <c r="G184" s="17">
        <f>D184 * 0.0003538862</f>
        <v>0</v>
      </c>
      <c r="H184" s="17">
        <f>D184 * 0.0033492802</f>
        <v>0</v>
      </c>
    </row>
    <row r="185" spans="1:8" x14ac:dyDescent="0.3">
      <c r="A185" s="139"/>
      <c r="B185" s="13" t="s">
        <v>338</v>
      </c>
      <c r="C185" s="23" t="s">
        <v>325</v>
      </c>
      <c r="D185" s="19"/>
      <c r="E185" s="16">
        <f t="shared" si="1"/>
        <v>0</v>
      </c>
      <c r="F185" s="17">
        <f>D185 * 0.0883536461</f>
        <v>0</v>
      </c>
      <c r="G185" s="17">
        <f>D185 * 0.0011614953</f>
        <v>0</v>
      </c>
      <c r="H185" s="17">
        <f>D185 * 0.0026649027</f>
        <v>0</v>
      </c>
    </row>
    <row r="186" spans="1:8" x14ac:dyDescent="0.3">
      <c r="A186" s="139"/>
      <c r="B186" s="13" t="s">
        <v>339</v>
      </c>
      <c r="C186" s="23" t="s">
        <v>325</v>
      </c>
      <c r="D186" s="19"/>
      <c r="E186" s="16">
        <f t="shared" si="1"/>
        <v>0</v>
      </c>
      <c r="F186" s="17">
        <f>D186 * 0.0092612846</f>
        <v>0</v>
      </c>
      <c r="G186" s="17">
        <f>D186 * 0.0002492009</f>
        <v>0</v>
      </c>
      <c r="H186" s="17">
        <f>D186 * 0.0000203604</f>
        <v>0</v>
      </c>
    </row>
    <row r="187" spans="1:8" x14ac:dyDescent="0.3">
      <c r="A187" s="139"/>
      <c r="B187" s="13" t="s">
        <v>340</v>
      </c>
      <c r="C187" s="23" t="s">
        <v>325</v>
      </c>
      <c r="D187" s="19"/>
      <c r="E187" s="16">
        <f t="shared" si="1"/>
        <v>0</v>
      </c>
      <c r="F187" s="17">
        <f>D187 * 0.1098698329</f>
        <v>0</v>
      </c>
      <c r="G187" s="17">
        <f>D187 * 0.0001641282</f>
        <v>0</v>
      </c>
      <c r="H187" s="17">
        <f>D187 * 0.0015533562</f>
        <v>0</v>
      </c>
    </row>
    <row r="188" spans="1:8" x14ac:dyDescent="0.3">
      <c r="A188" s="139"/>
      <c r="B188" s="13" t="s">
        <v>341</v>
      </c>
      <c r="C188" s="23" t="s">
        <v>325</v>
      </c>
      <c r="D188" s="19"/>
      <c r="E188" s="16">
        <f t="shared" si="1"/>
        <v>0</v>
      </c>
      <c r="F188" s="17">
        <f>D188 * 0.0092956177</f>
        <v>0</v>
      </c>
      <c r="G188" s="17">
        <f>D188 * 0.0002501248</f>
        <v>0</v>
      </c>
      <c r="H188" s="17">
        <f>D188 * 0.0000204359</f>
        <v>0</v>
      </c>
    </row>
    <row r="189" spans="1:8" x14ac:dyDescent="0.3">
      <c r="A189" s="139"/>
      <c r="B189" s="13" t="s">
        <v>355</v>
      </c>
      <c r="C189" s="23" t="s">
        <v>325</v>
      </c>
      <c r="D189" s="19"/>
      <c r="E189" s="16">
        <f t="shared" si="1"/>
        <v>0</v>
      </c>
      <c r="F189" s="17">
        <f>D189 * 0.0194292684</f>
        <v>0</v>
      </c>
      <c r="G189" s="17">
        <f>D189 * 0.0005227992</f>
        <v>0</v>
      </c>
      <c r="H189" s="17">
        <f>D189 * 0.0000427141</f>
        <v>0</v>
      </c>
    </row>
    <row r="190" spans="1:8" x14ac:dyDescent="0.3">
      <c r="A190" s="139" t="s">
        <v>356</v>
      </c>
      <c r="B190" s="13" t="s">
        <v>352</v>
      </c>
      <c r="C190" s="23" t="s">
        <v>325</v>
      </c>
      <c r="D190" s="19"/>
      <c r="E190" s="16">
        <f t="shared" si="1"/>
        <v>0</v>
      </c>
      <c r="F190" s="17">
        <f>D190 * 0.1779849299</f>
        <v>0</v>
      </c>
      <c r="G190" s="17">
        <f>D190 * 0.0023397864</f>
        <v>0</v>
      </c>
      <c r="H190" s="17">
        <f>D190 * 0.0053683411</f>
        <v>0</v>
      </c>
    </row>
    <row r="191" spans="1:8" x14ac:dyDescent="0.3">
      <c r="A191" s="139"/>
      <c r="B191" s="13" t="s">
        <v>30</v>
      </c>
      <c r="C191" s="23" t="s">
        <v>325</v>
      </c>
      <c r="D191" s="19"/>
      <c r="E191" s="16">
        <f t="shared" si="1"/>
        <v>0</v>
      </c>
      <c r="F191" s="17">
        <f>D191 * 0.178511851</f>
        <v>0</v>
      </c>
      <c r="G191" s="17">
        <f>D191 * 0.0002666685</f>
        <v>0</v>
      </c>
      <c r="H191" s="17">
        <f>D191 * 0.0025238273</f>
        <v>0</v>
      </c>
    </row>
    <row r="192" spans="1:8" x14ac:dyDescent="0.3">
      <c r="A192" s="139"/>
      <c r="B192" s="13" t="s">
        <v>353</v>
      </c>
      <c r="C192" s="23" t="s">
        <v>325</v>
      </c>
      <c r="D192" s="19"/>
      <c r="E192" s="16">
        <f t="shared" si="1"/>
        <v>0</v>
      </c>
      <c r="F192" s="17">
        <f>D192 * 0.1404673259</f>
        <v>0</v>
      </c>
      <c r="G192" s="17">
        <f>D192 * 0.0018465807</f>
        <v>0</v>
      </c>
      <c r="H192" s="17">
        <f>D192 * 0.0042367437</f>
        <v>0</v>
      </c>
    </row>
    <row r="193" spans="1:10" x14ac:dyDescent="0.3">
      <c r="A193" s="139"/>
      <c r="B193" s="13" t="s">
        <v>354</v>
      </c>
      <c r="C193" s="23" t="s">
        <v>325</v>
      </c>
      <c r="D193" s="19"/>
      <c r="E193" s="16">
        <f t="shared" si="1"/>
        <v>0</v>
      </c>
      <c r="F193" s="17">
        <f>D193 * 0.1579219995</f>
        <v>0</v>
      </c>
      <c r="G193" s="17">
        <f>D193 * 0.0002359106</f>
        <v>0</v>
      </c>
      <c r="H193" s="17">
        <f>D193 * 0.0022327249</f>
        <v>0</v>
      </c>
    </row>
    <row r="194" spans="1:10" x14ac:dyDescent="0.3">
      <c r="A194" s="139"/>
      <c r="B194" s="13" t="s">
        <v>338</v>
      </c>
      <c r="C194" s="23" t="s">
        <v>325</v>
      </c>
      <c r="D194" s="19"/>
      <c r="E194" s="16">
        <f t="shared" si="1"/>
        <v>0</v>
      </c>
      <c r="F194" s="17">
        <f>D194 * 0.0735112339</f>
        <v>0</v>
      </c>
      <c r="G194" s="17">
        <f>D194 * 0.0009663772</f>
        <v>0</v>
      </c>
      <c r="H194" s="17">
        <f>D194 * 0.0022172292</f>
        <v>0</v>
      </c>
    </row>
    <row r="195" spans="1:10" x14ac:dyDescent="0.3">
      <c r="A195" s="139"/>
      <c r="B195" s="13" t="s">
        <v>339</v>
      </c>
      <c r="C195" s="23" t="s">
        <v>325</v>
      </c>
      <c r="D195" s="19"/>
      <c r="E195" s="16">
        <f t="shared" si="1"/>
        <v>0</v>
      </c>
      <c r="F195" s="17">
        <f>D195 * 0.0078677519</f>
        <v>0</v>
      </c>
      <c r="G195" s="17">
        <f>D195 * 0.000211704</f>
        <v>0</v>
      </c>
      <c r="H195" s="17">
        <f>D195 * 0.0000172968</f>
        <v>0</v>
      </c>
    </row>
    <row r="196" spans="1:10" x14ac:dyDescent="0.3">
      <c r="A196" s="139"/>
      <c r="B196" s="13" t="s">
        <v>340</v>
      </c>
      <c r="C196" s="23" t="s">
        <v>325</v>
      </c>
      <c r="D196" s="19"/>
      <c r="E196" s="16">
        <f t="shared" si="1"/>
        <v>0</v>
      </c>
      <c r="F196" s="17">
        <f>D196 * 0.0826458464</f>
        <v>0</v>
      </c>
      <c r="G196" s="17">
        <f>D196 * 0.0001234599</f>
        <v>0</v>
      </c>
      <c r="H196" s="17">
        <f>D196 * 0.0011684594</f>
        <v>0</v>
      </c>
    </row>
    <row r="197" spans="1:10" x14ac:dyDescent="0.3">
      <c r="A197" s="139"/>
      <c r="B197" s="13" t="s">
        <v>341</v>
      </c>
      <c r="C197" s="23" t="s">
        <v>325</v>
      </c>
      <c r="D197" s="19"/>
      <c r="E197" s="16">
        <f t="shared" si="1"/>
        <v>0</v>
      </c>
      <c r="F197" s="17">
        <f>D197 * 0.0077495088</f>
        <v>0</v>
      </c>
      <c r="G197" s="17">
        <f>D197 * 0.0002085224</f>
        <v>0</v>
      </c>
      <c r="H197" s="17">
        <f>D197 * 0.0000170368</f>
        <v>0</v>
      </c>
    </row>
    <row r="198" spans="1:10" x14ac:dyDescent="0.3">
      <c r="A198" s="139"/>
      <c r="B198" s="13" t="s">
        <v>355</v>
      </c>
      <c r="C198" s="23" t="s">
        <v>325</v>
      </c>
      <c r="D198" s="19"/>
      <c r="E198" s="16">
        <f t="shared" si="1"/>
        <v>0</v>
      </c>
      <c r="F198" s="17">
        <f>D198 * 0.0165057732</f>
        <v>0</v>
      </c>
      <c r="G198" s="17">
        <f>D198 * 0.0004441343</f>
        <v>0</v>
      </c>
      <c r="H198" s="17">
        <f>D198 * 0.0000362869</f>
        <v>0</v>
      </c>
    </row>
    <row r="199" spans="1:10" x14ac:dyDescent="0.3">
      <c r="A199" s="139" t="s">
        <v>357</v>
      </c>
      <c r="B199" s="13" t="s">
        <v>358</v>
      </c>
      <c r="C199" s="23" t="s">
        <v>325</v>
      </c>
      <c r="D199" s="19"/>
      <c r="E199" s="16">
        <f t="shared" si="1"/>
        <v>0</v>
      </c>
      <c r="F199" s="17">
        <f>D199 * 0.1591685834</f>
        <v>0</v>
      </c>
      <c r="G199" s="17">
        <f>D199 * 0.0014759713</f>
        <v>0</v>
      </c>
      <c r="H199" s="17">
        <f>D199 * 0.0037253272</f>
        <v>0</v>
      </c>
    </row>
    <row r="200" spans="1:10" x14ac:dyDescent="0.3">
      <c r="A200" s="139"/>
      <c r="B200" s="13" t="s">
        <v>359</v>
      </c>
      <c r="C200" s="23" t="s">
        <v>360</v>
      </c>
      <c r="D200" s="19"/>
      <c r="E200" s="16">
        <f t="shared" si="1"/>
        <v>0</v>
      </c>
      <c r="F200" s="17">
        <f>D200 * 0.0497401823</f>
        <v>0</v>
      </c>
      <c r="G200" s="17">
        <f>D200 * 0.000461241</f>
        <v>0</v>
      </c>
      <c r="H200" s="17">
        <f>D200 * 0.0011641648</f>
        <v>0</v>
      </c>
    </row>
    <row r="201" spans="1:10" x14ac:dyDescent="0.3">
      <c r="A201" s="139"/>
      <c r="B201" s="13" t="s">
        <v>353</v>
      </c>
      <c r="C201" s="23" t="s">
        <v>325</v>
      </c>
      <c r="D201" s="19"/>
      <c r="E201" s="16">
        <f t="shared" si="1"/>
        <v>0</v>
      </c>
      <c r="F201" s="17">
        <f>D201 * 0.1688286231</f>
        <v>0</v>
      </c>
      <c r="G201" s="17">
        <f>D201 * 0.0022194178</f>
        <v>0</v>
      </c>
      <c r="H201" s="17">
        <f>D201 * 0.0050921707</f>
        <v>0</v>
      </c>
    </row>
    <row r="202" spans="1:10" x14ac:dyDescent="0.3">
      <c r="A202" s="139"/>
      <c r="B202" s="13" t="s">
        <v>361</v>
      </c>
      <c r="C202" s="23" t="s">
        <v>360</v>
      </c>
      <c r="D202" s="19"/>
      <c r="E202" s="16">
        <f t="shared" si="1"/>
        <v>0</v>
      </c>
      <c r="F202" s="17">
        <f>D202 * 0.0527589447</f>
        <v>0</v>
      </c>
      <c r="G202" s="17">
        <f>D202 * 0.0006935681</f>
        <v>0</v>
      </c>
      <c r="H202" s="17">
        <f>D202 * 0.0015913033</f>
        <v>0</v>
      </c>
    </row>
    <row r="203" spans="1:10" x14ac:dyDescent="0.3">
      <c r="A203" s="139"/>
      <c r="B203" s="13" t="s">
        <v>355</v>
      </c>
      <c r="C203" s="23" t="s">
        <v>325</v>
      </c>
      <c r="D203" s="19"/>
      <c r="E203" s="16">
        <f t="shared" si="1"/>
        <v>0</v>
      </c>
      <c r="F203" s="17">
        <f>D203 * 0.0194292684</f>
        <v>0</v>
      </c>
      <c r="G203" s="17">
        <f>D203 * 0.0005227992</f>
        <v>0</v>
      </c>
      <c r="H203" s="17">
        <f>D203 * 0.0000427141</f>
        <v>0</v>
      </c>
    </row>
    <row r="204" spans="1:10" ht="15" thickBot="1" x14ac:dyDescent="0.35">
      <c r="A204" s="139"/>
      <c r="B204" s="13" t="s">
        <v>362</v>
      </c>
      <c r="C204" s="23" t="s">
        <v>360</v>
      </c>
      <c r="D204" s="22"/>
      <c r="E204" s="44">
        <f t="shared" si="1"/>
        <v>0</v>
      </c>
      <c r="F204" s="45">
        <f>D204 * 0.0060716464</f>
        <v>0</v>
      </c>
      <c r="G204" s="45">
        <f>D204 * 0.0001633747</f>
        <v>0</v>
      </c>
      <c r="H204" s="45">
        <f>D204 * 0.0000133481</f>
        <v>0</v>
      </c>
    </row>
    <row r="205" spans="1:10" x14ac:dyDescent="0.3">
      <c r="A205" s="63"/>
      <c r="B205" s="26"/>
      <c r="C205" s="26"/>
      <c r="D205" s="27" t="s">
        <v>39</v>
      </c>
      <c r="E205" s="46">
        <f>SUM(E181:E204)</f>
        <v>0</v>
      </c>
      <c r="F205" s="47">
        <f>SUM(F181:F204)</f>
        <v>0</v>
      </c>
      <c r="G205" s="47">
        <f>SUM(G181:G204)</f>
        <v>0</v>
      </c>
      <c r="H205" s="47">
        <f>SUM(H181:H204)</f>
        <v>0</v>
      </c>
    </row>
    <row r="207" spans="1:10" ht="15" thickBot="1" x14ac:dyDescent="0.35">
      <c r="A207" s="111" t="s">
        <v>363</v>
      </c>
      <c r="B207" s="111"/>
      <c r="C207" s="111"/>
      <c r="D207" s="111"/>
      <c r="E207" s="111"/>
      <c r="F207" s="111"/>
      <c r="G207" s="111"/>
      <c r="H207" s="111"/>
      <c r="I207" s="111"/>
      <c r="J207" s="111"/>
    </row>
    <row r="208" spans="1:10" ht="15" thickBot="1" x14ac:dyDescent="0.35">
      <c r="A208" s="128" t="s">
        <v>18</v>
      </c>
      <c r="B208" s="137"/>
      <c r="C208" s="39" t="s">
        <v>19</v>
      </c>
      <c r="D208" s="11" t="s">
        <v>20</v>
      </c>
      <c r="E208" s="32" t="s">
        <v>12</v>
      </c>
      <c r="F208" s="32" t="s">
        <v>13</v>
      </c>
      <c r="G208" s="32" t="s">
        <v>14</v>
      </c>
      <c r="H208" s="32" t="s">
        <v>15</v>
      </c>
      <c r="I208" s="30" t="s">
        <v>309</v>
      </c>
      <c r="J208" s="30" t="s">
        <v>21</v>
      </c>
    </row>
    <row r="209" spans="1:10" x14ac:dyDescent="0.3">
      <c r="A209" s="139" t="s">
        <v>315</v>
      </c>
      <c r="B209" s="13" t="s">
        <v>364</v>
      </c>
      <c r="C209" s="23" t="s">
        <v>325</v>
      </c>
      <c r="D209" s="42"/>
      <c r="E209" s="16">
        <f t="shared" ref="E209:E217" si="2">F209 + G209 + H209</f>
        <v>0</v>
      </c>
      <c r="F209" s="17">
        <f>D209 * 0.5572506935</f>
        <v>0</v>
      </c>
      <c r="G209" s="17">
        <f>D209 * 0.0007447493</f>
        <v>0</v>
      </c>
      <c r="H209" s="17">
        <f>D209 * 0.0088774112</f>
        <v>0</v>
      </c>
      <c r="I209" s="13" t="s">
        <v>365</v>
      </c>
      <c r="J209" s="13" t="s">
        <v>58</v>
      </c>
    </row>
    <row r="210" spans="1:10" x14ac:dyDescent="0.3">
      <c r="A210" s="139"/>
      <c r="B210" s="13" t="s">
        <v>366</v>
      </c>
      <c r="C210" s="23" t="s">
        <v>325</v>
      </c>
      <c r="D210" s="19"/>
      <c r="E210" s="16">
        <f t="shared" si="2"/>
        <v>0</v>
      </c>
      <c r="F210" s="17">
        <f>D210 * 0.7718600431</f>
        <v>0</v>
      </c>
      <c r="G210" s="17">
        <f>D210 * 0.0010315684</f>
        <v>0</v>
      </c>
      <c r="H210" s="17">
        <f>D210 * 0.0122962952</f>
        <v>0</v>
      </c>
      <c r="I210" s="13" t="s">
        <v>365</v>
      </c>
      <c r="J210" s="13" t="s">
        <v>58</v>
      </c>
    </row>
    <row r="211" spans="1:10" x14ac:dyDescent="0.3">
      <c r="A211" s="139"/>
      <c r="B211" s="13" t="s">
        <v>367</v>
      </c>
      <c r="C211" s="23" t="s">
        <v>325</v>
      </c>
      <c r="D211" s="19"/>
      <c r="E211" s="16">
        <f t="shared" si="2"/>
        <v>0</v>
      </c>
      <c r="F211" s="17">
        <f>D211 * 1.0697696727</f>
        <v>0</v>
      </c>
      <c r="G211" s="17">
        <f>D211 * 0.0014297159</f>
        <v>0</v>
      </c>
      <c r="H211" s="17">
        <f>D211 * 0.0170422136</f>
        <v>0</v>
      </c>
      <c r="I211" s="13" t="s">
        <v>365</v>
      </c>
      <c r="J211" s="13" t="s">
        <v>58</v>
      </c>
    </row>
    <row r="212" spans="1:10" x14ac:dyDescent="0.3">
      <c r="A212" s="139" t="s">
        <v>368</v>
      </c>
      <c r="B212" s="13" t="s">
        <v>364</v>
      </c>
      <c r="C212" s="23" t="s">
        <v>325</v>
      </c>
      <c r="D212" s="19"/>
      <c r="E212" s="16">
        <f t="shared" si="2"/>
        <v>0</v>
      </c>
      <c r="F212" s="17">
        <f>D212 * 0.3943375172</f>
        <v>0</v>
      </c>
      <c r="G212" s="17">
        <f>D212 * 0.0005270206</f>
        <v>0</v>
      </c>
      <c r="H212" s="17">
        <f>D212 * 0.0062820852</f>
        <v>0</v>
      </c>
      <c r="I212" s="13" t="s">
        <v>365</v>
      </c>
      <c r="J212" s="13" t="s">
        <v>58</v>
      </c>
    </row>
    <row r="213" spans="1:10" x14ac:dyDescent="0.3">
      <c r="A213" s="139"/>
      <c r="B213" s="13" t="s">
        <v>366</v>
      </c>
      <c r="C213" s="23" t="s">
        <v>325</v>
      </c>
      <c r="D213" s="19"/>
      <c r="E213" s="16">
        <f t="shared" si="2"/>
        <v>0</v>
      </c>
      <c r="F213" s="17">
        <f>D213 * 0.546205463</f>
        <v>0</v>
      </c>
      <c r="G213" s="17">
        <f>D213 * 0.0007299876</f>
        <v>0</v>
      </c>
      <c r="H213" s="17">
        <f>D213 * 0.0087014526</f>
        <v>0</v>
      </c>
      <c r="I213" s="13" t="s">
        <v>365</v>
      </c>
      <c r="J213" s="13" t="s">
        <v>58</v>
      </c>
    </row>
    <row r="214" spans="1:10" x14ac:dyDescent="0.3">
      <c r="A214" s="139"/>
      <c r="B214" s="13" t="s">
        <v>367</v>
      </c>
      <c r="C214" s="23" t="s">
        <v>325</v>
      </c>
      <c r="D214" s="19"/>
      <c r="E214" s="16">
        <f t="shared" si="2"/>
        <v>0</v>
      </c>
      <c r="F214" s="17">
        <f>D214 * 0.7570207119</f>
        <v>0</v>
      </c>
      <c r="G214" s="17">
        <f>D214 * 0.0010117361</f>
        <v>0</v>
      </c>
      <c r="H214" s="17">
        <f>D214 * 0.0120598938</f>
        <v>0</v>
      </c>
      <c r="I214" s="13" t="s">
        <v>365</v>
      </c>
      <c r="J214" s="13" t="s">
        <v>58</v>
      </c>
    </row>
    <row r="215" spans="1:10" x14ac:dyDescent="0.3">
      <c r="A215" s="139" t="s">
        <v>369</v>
      </c>
      <c r="B215" s="13" t="s">
        <v>364</v>
      </c>
      <c r="C215" s="23" t="s">
        <v>325</v>
      </c>
      <c r="D215" s="19"/>
      <c r="E215" s="16">
        <f t="shared" si="2"/>
        <v>0</v>
      </c>
      <c r="F215" s="17">
        <f>D215 * 0.0530356662</f>
        <v>0</v>
      </c>
      <c r="G215" s="17">
        <f>D215 * 0.00211106</f>
        <v>0</v>
      </c>
      <c r="H215" s="17">
        <f>D215 * 0.0000757758</f>
        <v>0</v>
      </c>
      <c r="I215" s="13" t="s">
        <v>365</v>
      </c>
      <c r="J215" s="13" t="s">
        <v>58</v>
      </c>
    </row>
    <row r="216" spans="1:10" x14ac:dyDescent="0.3">
      <c r="A216" s="139"/>
      <c r="B216" s="13" t="s">
        <v>366</v>
      </c>
      <c r="C216" s="23" t="s">
        <v>325</v>
      </c>
      <c r="D216" s="19"/>
      <c r="E216" s="16">
        <f t="shared" si="2"/>
        <v>0</v>
      </c>
      <c r="F216" s="17">
        <f>D216 * 0.0734608535</f>
        <v>0</v>
      </c>
      <c r="G216" s="17">
        <f>D216 * 0.0029240751</f>
        <v>0</v>
      </c>
      <c r="H216" s="17">
        <f>D216 * 0.0001049587</f>
        <v>0</v>
      </c>
      <c r="I216" s="13" t="s">
        <v>365</v>
      </c>
      <c r="J216" s="13" t="s">
        <v>58</v>
      </c>
    </row>
    <row r="217" spans="1:10" ht="15" thickBot="1" x14ac:dyDescent="0.35">
      <c r="A217" s="139"/>
      <c r="B217" s="13" t="s">
        <v>367</v>
      </c>
      <c r="C217" s="23" t="s">
        <v>325</v>
      </c>
      <c r="D217" s="22"/>
      <c r="E217" s="44">
        <f t="shared" si="2"/>
        <v>0</v>
      </c>
      <c r="F217" s="45">
        <f>D217 * 0.1018140451</f>
        <v>0</v>
      </c>
      <c r="G217" s="45">
        <f>D217 * 0.0040526607</f>
        <v>0</v>
      </c>
      <c r="H217" s="45">
        <f>D217 * 0.0001454688</f>
        <v>0</v>
      </c>
      <c r="I217" s="13" t="s">
        <v>365</v>
      </c>
      <c r="J217" s="13" t="s">
        <v>58</v>
      </c>
    </row>
    <row r="218" spans="1:10" x14ac:dyDescent="0.3">
      <c r="B218" s="26"/>
      <c r="C218" s="26"/>
      <c r="D218" s="27" t="s">
        <v>39</v>
      </c>
      <c r="E218" s="46">
        <f>SUM(E209:E217)</f>
        <v>0</v>
      </c>
      <c r="F218" s="47">
        <f>SUM(F209:F217)</f>
        <v>0</v>
      </c>
      <c r="G218" s="47">
        <f>SUM(G209:G217)</f>
        <v>0</v>
      </c>
      <c r="H218" s="47">
        <f>SUM(H209:H217)</f>
        <v>0</v>
      </c>
      <c r="I218" s="26"/>
      <c r="J218" s="26"/>
    </row>
    <row r="220" spans="1:10" ht="15" thickBot="1" x14ac:dyDescent="0.35">
      <c r="A220" s="111" t="s">
        <v>370</v>
      </c>
      <c r="B220" s="111"/>
      <c r="C220" s="111"/>
      <c r="D220" s="111"/>
      <c r="E220" s="111"/>
      <c r="F220" s="111"/>
      <c r="G220" s="111"/>
      <c r="H220" s="111"/>
      <c r="I220" s="111"/>
    </row>
    <row r="221" spans="1:10" ht="15" thickBot="1" x14ac:dyDescent="0.35">
      <c r="A221" s="128" t="s">
        <v>371</v>
      </c>
      <c r="B221" s="137"/>
      <c r="C221" s="39" t="s">
        <v>19</v>
      </c>
      <c r="D221" s="11" t="s">
        <v>20</v>
      </c>
      <c r="E221" s="32" t="s">
        <v>12</v>
      </c>
      <c r="F221" s="32" t="s">
        <v>13</v>
      </c>
      <c r="G221" s="32" t="s">
        <v>14</v>
      </c>
      <c r="H221" s="32" t="s">
        <v>15</v>
      </c>
      <c r="I221" s="30" t="s">
        <v>21</v>
      </c>
    </row>
    <row r="222" spans="1:10" x14ac:dyDescent="0.3">
      <c r="A222" s="150" t="s">
        <v>18</v>
      </c>
      <c r="B222" s="13" t="s">
        <v>372</v>
      </c>
      <c r="C222" s="23" t="s">
        <v>312</v>
      </c>
      <c r="D222" s="15"/>
      <c r="E222" s="16">
        <f>F222 + G222 + H222</f>
        <v>0</v>
      </c>
      <c r="F222" s="17">
        <f>D222 * 0.300377767479809</f>
        <v>0</v>
      </c>
      <c r="G222" s="17">
        <f>D222 * 0.00111235575607021</f>
        <v>0</v>
      </c>
      <c r="H222" s="17">
        <f>D222 * 0.00440307486777791</f>
        <v>0</v>
      </c>
      <c r="I222" s="13" t="s">
        <v>58</v>
      </c>
    </row>
    <row r="223" spans="1:10" x14ac:dyDescent="0.3">
      <c r="A223" s="151"/>
      <c r="B223" s="13" t="s">
        <v>373</v>
      </c>
      <c r="C223" s="23" t="s">
        <v>312</v>
      </c>
      <c r="D223" s="19"/>
      <c r="E223" s="16">
        <f>F223 + G223 + H223</f>
        <v>0</v>
      </c>
      <c r="F223" s="17">
        <f>D223 * 0.177188430928652</f>
        <v>0</v>
      </c>
      <c r="G223" s="17">
        <f>D223 * 0.000656162314229144</f>
        <v>0</v>
      </c>
      <c r="H223" s="17">
        <f>D223 * 0.00259730916049036</f>
        <v>0</v>
      </c>
      <c r="I223" s="13" t="s">
        <v>58</v>
      </c>
    </row>
    <row r="224" spans="1:10" x14ac:dyDescent="0.3">
      <c r="A224" s="151"/>
      <c r="B224" s="13" t="s">
        <v>374</v>
      </c>
      <c r="C224" s="23" t="s">
        <v>312</v>
      </c>
      <c r="D224" s="19"/>
      <c r="E224" s="16">
        <f>F224 + G224 + H224</f>
        <v>0</v>
      </c>
      <c r="F224" s="17">
        <f>D224 * 0.235171029572946</f>
        <v>0</v>
      </c>
      <c r="G224" s="17">
        <f>D224 * 0.000870882857280734</f>
        <v>0</v>
      </c>
      <c r="H224" s="17">
        <f>D224 * 0.00344724464340291</f>
        <v>0</v>
      </c>
      <c r="I224" s="13" t="s">
        <v>58</v>
      </c>
    </row>
    <row r="225" spans="1:10" ht="15" thickBot="1" x14ac:dyDescent="0.35">
      <c r="A225" s="152"/>
      <c r="B225" s="13" t="s">
        <v>375</v>
      </c>
      <c r="C225" s="23" t="s">
        <v>312</v>
      </c>
      <c r="D225" s="22"/>
      <c r="E225" s="44">
        <f>F225 + G225 + H225</f>
        <v>0</v>
      </c>
      <c r="F225" s="45">
        <f>D225 * 0.64701963800905</f>
        <v>0</v>
      </c>
      <c r="G225" s="45">
        <f>D225 * 0.00547990950226244</f>
        <v>0</v>
      </c>
      <c r="H225" s="45">
        <f>D225 * 0.0171790950226244</f>
        <v>0</v>
      </c>
      <c r="I225" s="13" t="s">
        <v>58</v>
      </c>
    </row>
    <row r="226" spans="1:10" x14ac:dyDescent="0.3">
      <c r="B226" s="26"/>
      <c r="C226" s="26"/>
      <c r="D226" s="27" t="s">
        <v>39</v>
      </c>
      <c r="E226" s="46">
        <f>SUM(E222:E225)</f>
        <v>0</v>
      </c>
      <c r="F226" s="47">
        <f>SUM(F222:F225)</f>
        <v>0</v>
      </c>
      <c r="G226" s="47">
        <f>SUM(G222:G225)</f>
        <v>0</v>
      </c>
      <c r="H226" s="47">
        <f>SUM(H222:H225)</f>
        <v>0</v>
      </c>
      <c r="I226" s="26"/>
    </row>
    <row r="228" spans="1:10" ht="15" thickBot="1" x14ac:dyDescent="0.35">
      <c r="A228" s="111" t="s">
        <v>370</v>
      </c>
      <c r="B228" s="111"/>
      <c r="C228" s="111"/>
      <c r="D228" s="111"/>
      <c r="E228" s="111"/>
      <c r="F228" s="111"/>
      <c r="G228" s="111"/>
      <c r="H228" s="111"/>
      <c r="I228" s="111"/>
    </row>
    <row r="229" spans="1:10" ht="15" thickBot="1" x14ac:dyDescent="0.35">
      <c r="A229" s="128" t="s">
        <v>376</v>
      </c>
      <c r="B229" s="137"/>
      <c r="C229" s="39" t="s">
        <v>19</v>
      </c>
      <c r="D229" s="11" t="s">
        <v>20</v>
      </c>
      <c r="E229" s="32" t="s">
        <v>12</v>
      </c>
      <c r="F229" s="32" t="s">
        <v>13</v>
      </c>
      <c r="G229" s="32" t="s">
        <v>14</v>
      </c>
      <c r="H229" s="32" t="s">
        <v>15</v>
      </c>
      <c r="I229" s="30" t="s">
        <v>21</v>
      </c>
    </row>
    <row r="230" spans="1:10" x14ac:dyDescent="0.3">
      <c r="A230" s="150" t="s">
        <v>18</v>
      </c>
      <c r="B230" s="13" t="s">
        <v>372</v>
      </c>
      <c r="C230" s="23" t="s">
        <v>312</v>
      </c>
      <c r="D230" s="15"/>
      <c r="E230" s="16">
        <f>F230 + G230 + H230</f>
        <v>0</v>
      </c>
      <c r="F230" s="17">
        <f>D230 * 0.158093561831478</f>
        <v>0</v>
      </c>
      <c r="G230" s="17">
        <f>D230 * 0.00111235575607021</f>
        <v>0</v>
      </c>
      <c r="H230" s="17">
        <f>D230 * 0.00440307486777791</f>
        <v>0</v>
      </c>
      <c r="I230" s="13" t="s">
        <v>58</v>
      </c>
    </row>
    <row r="231" spans="1:10" x14ac:dyDescent="0.3">
      <c r="A231" s="151"/>
      <c r="B231" s="13" t="s">
        <v>373</v>
      </c>
      <c r="C231" s="23" t="s">
        <v>312</v>
      </c>
      <c r="D231" s="19"/>
      <c r="E231" s="16">
        <f>F231 + G231 + H231</f>
        <v>0</v>
      </c>
      <c r="F231" s="17">
        <f>D231 * 0.0932570689098171</f>
        <v>0</v>
      </c>
      <c r="G231" s="17">
        <f>D231 * 0.000656162314229144</f>
        <v>0</v>
      </c>
      <c r="H231" s="17">
        <f>D231 * 0.00259730916049036</f>
        <v>0</v>
      </c>
      <c r="I231" s="13" t="s">
        <v>58</v>
      </c>
    </row>
    <row r="232" spans="1:10" x14ac:dyDescent="0.3">
      <c r="A232" s="151"/>
      <c r="B232" s="13" t="s">
        <v>374</v>
      </c>
      <c r="C232" s="23" t="s">
        <v>312</v>
      </c>
      <c r="D232" s="19"/>
      <c r="E232" s="16">
        <f>F232 + G232 + H232</f>
        <v>0</v>
      </c>
      <c r="F232" s="17">
        <f>D232 * 0.123774226091024</f>
        <v>0</v>
      </c>
      <c r="G232" s="17">
        <f>D232 * 0.000870882857280734</f>
        <v>0</v>
      </c>
      <c r="H232" s="17">
        <f>D232 * 0.00344724464340291</f>
        <v>0</v>
      </c>
      <c r="I232" s="13" t="s">
        <v>58</v>
      </c>
    </row>
    <row r="233" spans="1:10" ht="15" thickBot="1" x14ac:dyDescent="0.35">
      <c r="A233" s="152"/>
      <c r="B233" s="13" t="s">
        <v>375</v>
      </c>
      <c r="C233" s="23" t="s">
        <v>312</v>
      </c>
      <c r="D233" s="22"/>
      <c r="E233" s="44">
        <f>F233 + G233 + H233</f>
        <v>0</v>
      </c>
      <c r="F233" s="45">
        <f>D233 * 0.34053665158371</f>
        <v>0</v>
      </c>
      <c r="G233" s="45">
        <f>D233 * 0.0028841628959276</f>
        <v>0</v>
      </c>
      <c r="H233" s="45">
        <f>D233 * 0.00904162895927602</f>
        <v>0</v>
      </c>
      <c r="I233" s="13" t="s">
        <v>58</v>
      </c>
    </row>
    <row r="234" spans="1:10" x14ac:dyDescent="0.3">
      <c r="B234" s="26"/>
      <c r="C234" s="26"/>
      <c r="D234" s="27" t="s">
        <v>39</v>
      </c>
      <c r="E234" s="46">
        <f>SUM(E230:E233)</f>
        <v>0</v>
      </c>
      <c r="F234" s="47">
        <f>SUM(F230:F233)</f>
        <v>0</v>
      </c>
      <c r="G234" s="47">
        <f>SUM(G230:G233)</f>
        <v>0</v>
      </c>
      <c r="H234" s="47">
        <f>SUM(H230:H233)</f>
        <v>0</v>
      </c>
      <c r="I234" s="26"/>
    </row>
    <row r="236" spans="1:10" ht="15" thickBot="1" x14ac:dyDescent="0.35">
      <c r="A236" s="111" t="s">
        <v>377</v>
      </c>
      <c r="B236" s="111"/>
      <c r="C236" s="111"/>
      <c r="D236" s="111"/>
      <c r="E236" s="111"/>
      <c r="F236" s="111"/>
      <c r="G236" s="111"/>
      <c r="H236" s="111"/>
      <c r="I236" s="111"/>
      <c r="J236" s="111"/>
    </row>
    <row r="237" spans="1:10" ht="15" thickBot="1" x14ac:dyDescent="0.35">
      <c r="A237" s="128" t="s">
        <v>371</v>
      </c>
      <c r="B237" s="112"/>
      <c r="C237" s="39" t="s">
        <v>19</v>
      </c>
      <c r="D237" s="11" t="s">
        <v>20</v>
      </c>
      <c r="E237" s="32" t="s">
        <v>12</v>
      </c>
      <c r="F237" s="32" t="s">
        <v>13</v>
      </c>
      <c r="G237" s="32" t="s">
        <v>14</v>
      </c>
      <c r="H237" s="32" t="s">
        <v>15</v>
      </c>
      <c r="I237" s="30" t="s">
        <v>378</v>
      </c>
      <c r="J237" s="30" t="s">
        <v>21</v>
      </c>
    </row>
    <row r="238" spans="1:10" ht="15" thickBot="1" x14ac:dyDescent="0.35">
      <c r="A238" s="129" t="s">
        <v>18</v>
      </c>
      <c r="B238" s="126" t="s">
        <v>379</v>
      </c>
      <c r="C238" s="127"/>
      <c r="D238" s="127"/>
      <c r="E238" s="127"/>
      <c r="F238" s="127"/>
      <c r="G238" s="127"/>
      <c r="H238" s="127"/>
      <c r="I238" s="127"/>
      <c r="J238" s="127"/>
    </row>
    <row r="239" spans="1:10" x14ac:dyDescent="0.3">
      <c r="A239" s="139"/>
      <c r="B239" s="13" t="s">
        <v>380</v>
      </c>
      <c r="C239" s="23" t="s">
        <v>312</v>
      </c>
      <c r="D239" s="15"/>
      <c r="E239" s="16">
        <f>F239 + G239 + H239</f>
        <v>0</v>
      </c>
      <c r="F239" s="17">
        <f>D239 * 0.15276</f>
        <v>0</v>
      </c>
      <c r="G239" s="17">
        <f>D239 * 0.00001</f>
        <v>0</v>
      </c>
      <c r="H239" s="17">
        <f>D239 * 0.00076</f>
        <v>0</v>
      </c>
      <c r="I239" s="13" t="s">
        <v>381</v>
      </c>
      <c r="J239" s="13" t="s">
        <v>58</v>
      </c>
    </row>
    <row r="240" spans="1:10" x14ac:dyDescent="0.3">
      <c r="A240" s="139"/>
      <c r="B240" s="13" t="s">
        <v>382</v>
      </c>
      <c r="C240" s="23" t="s">
        <v>312</v>
      </c>
      <c r="D240" s="19"/>
      <c r="E240" s="16">
        <f>F240 + G240 + H240</f>
        <v>0</v>
      </c>
      <c r="F240" s="17">
        <f>D240 * 0.15026</f>
        <v>0</v>
      </c>
      <c r="G240" s="17">
        <f>D240 * 0.00001</f>
        <v>0</v>
      </c>
      <c r="H240" s="17">
        <f>D240 * 0.00075</f>
        <v>0</v>
      </c>
      <c r="I240" s="13" t="s">
        <v>381</v>
      </c>
      <c r="J240" s="13" t="s">
        <v>58</v>
      </c>
    </row>
    <row r="241" spans="1:10" ht="15" thickBot="1" x14ac:dyDescent="0.35">
      <c r="A241" s="139"/>
      <c r="B241" s="13" t="s">
        <v>383</v>
      </c>
      <c r="C241" s="23" t="s">
        <v>312</v>
      </c>
      <c r="D241" s="22"/>
      <c r="E241" s="16">
        <f>F241 + G241 + H241</f>
        <v>0</v>
      </c>
      <c r="F241" s="17">
        <f>D241 * 0.22539</f>
        <v>0</v>
      </c>
      <c r="G241" s="17">
        <f>D241 * 0.00001</f>
        <v>0</v>
      </c>
      <c r="H241" s="17">
        <f>D241 * 0.00112</f>
        <v>0</v>
      </c>
      <c r="I241" s="13" t="s">
        <v>381</v>
      </c>
      <c r="J241" s="13" t="s">
        <v>58</v>
      </c>
    </row>
    <row r="242" spans="1:10" ht="15" thickBot="1" x14ac:dyDescent="0.35">
      <c r="A242" s="129"/>
      <c r="B242" s="148" t="s">
        <v>384</v>
      </c>
      <c r="C242" s="127"/>
      <c r="D242" s="127"/>
      <c r="E242" s="127"/>
      <c r="F242" s="127"/>
      <c r="G242" s="127"/>
      <c r="H242" s="127"/>
      <c r="I242" s="127"/>
      <c r="J242" s="127"/>
    </row>
    <row r="243" spans="1:10" x14ac:dyDescent="0.3">
      <c r="A243" s="139"/>
      <c r="B243" s="13" t="s">
        <v>380</v>
      </c>
      <c r="C243" s="23" t="s">
        <v>312</v>
      </c>
      <c r="D243" s="15"/>
      <c r="E243" s="16">
        <f>F243 + G243 + H243</f>
        <v>0</v>
      </c>
      <c r="F243" s="17">
        <f>D243 * 0.19212</f>
        <v>0</v>
      </c>
      <c r="G243" s="17">
        <f>D243 * 0.00001</f>
        <v>0</v>
      </c>
      <c r="H243" s="17">
        <f>D243 * 0.00096</f>
        <v>0</v>
      </c>
      <c r="I243" s="13" t="s">
        <v>381</v>
      </c>
      <c r="J243" s="13" t="s">
        <v>58</v>
      </c>
    </row>
    <row r="244" spans="1:10" x14ac:dyDescent="0.3">
      <c r="A244" s="139"/>
      <c r="B244" s="13" t="s">
        <v>382</v>
      </c>
      <c r="C244" s="23" t="s">
        <v>312</v>
      </c>
      <c r="D244" s="19"/>
      <c r="E244" s="16">
        <f>F244 + G244 + H244</f>
        <v>0</v>
      </c>
      <c r="F244" s="17">
        <f>D244 * 0.14713</f>
        <v>0</v>
      </c>
      <c r="G244" s="17">
        <f>D244 * 0.00001</f>
        <v>0</v>
      </c>
      <c r="H244" s="17">
        <f>D244 * 0.00073</f>
        <v>0</v>
      </c>
      <c r="I244" s="13" t="s">
        <v>381</v>
      </c>
      <c r="J244" s="13" t="s">
        <v>58</v>
      </c>
    </row>
    <row r="245" spans="1:10" x14ac:dyDescent="0.3">
      <c r="A245" s="139"/>
      <c r="B245" s="13" t="s">
        <v>385</v>
      </c>
      <c r="C245" s="23" t="s">
        <v>312</v>
      </c>
      <c r="D245" s="19"/>
      <c r="E245" s="16">
        <f>F245 + G245 + H245</f>
        <v>0</v>
      </c>
      <c r="F245" s="17">
        <f>D245 * 0.23541</f>
        <v>0</v>
      </c>
      <c r="G245" s="17">
        <f>D245 * 0.00001</f>
        <v>0</v>
      </c>
      <c r="H245" s="17">
        <f>D245 * 0.00117</f>
        <v>0</v>
      </c>
      <c r="I245" s="13" t="s">
        <v>381</v>
      </c>
      <c r="J245" s="13" t="s">
        <v>58</v>
      </c>
    </row>
    <row r="246" spans="1:10" x14ac:dyDescent="0.3">
      <c r="A246" s="139"/>
      <c r="B246" s="13" t="s">
        <v>383</v>
      </c>
      <c r="C246" s="23" t="s">
        <v>312</v>
      </c>
      <c r="D246" s="19"/>
      <c r="E246" s="16">
        <f>F246 + G246 + H246</f>
        <v>0</v>
      </c>
      <c r="F246" s="17">
        <f>D246 * 0.42668</f>
        <v>0</v>
      </c>
      <c r="G246" s="17">
        <f>D246 * 0.00002</f>
        <v>0</v>
      </c>
      <c r="H246" s="17">
        <f>D246 * 0.00212</f>
        <v>0</v>
      </c>
      <c r="I246" s="13" t="s">
        <v>381</v>
      </c>
      <c r="J246" s="13" t="s">
        <v>58</v>
      </c>
    </row>
    <row r="247" spans="1:10" ht="15" thickBot="1" x14ac:dyDescent="0.35">
      <c r="A247" s="139"/>
      <c r="B247" s="13" t="s">
        <v>386</v>
      </c>
      <c r="C247" s="23" t="s">
        <v>312</v>
      </c>
      <c r="D247" s="22"/>
      <c r="E247" s="44">
        <f>F247 + G247 + H247</f>
        <v>0</v>
      </c>
      <c r="F247" s="45">
        <f>D247 * 0.58852</f>
        <v>0</v>
      </c>
      <c r="G247" s="45">
        <f>D247 * 0.00002</f>
        <v>0</v>
      </c>
      <c r="H247" s="45">
        <f>D247 * 0.00293</f>
        <v>0</v>
      </c>
      <c r="I247" s="13" t="s">
        <v>381</v>
      </c>
      <c r="J247" s="13" t="s">
        <v>58</v>
      </c>
    </row>
    <row r="248" spans="1:10" x14ac:dyDescent="0.3">
      <c r="B248" s="26"/>
      <c r="C248" s="26"/>
      <c r="D248" s="27" t="s">
        <v>39</v>
      </c>
      <c r="E248" s="46">
        <f>SUM(E239:E241,E243:E247)</f>
        <v>0</v>
      </c>
      <c r="F248" s="47">
        <f>SUM(F239:F241,F243:F247)</f>
        <v>0</v>
      </c>
      <c r="G248" s="47">
        <f>SUM(G239:G241,G243:G247)</f>
        <v>0</v>
      </c>
      <c r="H248" s="47">
        <f>SUM(H239:H241,H243:H247)</f>
        <v>0</v>
      </c>
      <c r="I248" s="26"/>
      <c r="J248" s="26"/>
    </row>
    <row r="250" spans="1:10" ht="15" thickBot="1" x14ac:dyDescent="0.35">
      <c r="A250" s="111" t="s">
        <v>377</v>
      </c>
      <c r="B250" s="111"/>
      <c r="C250" s="111"/>
      <c r="D250" s="111"/>
      <c r="E250" s="111"/>
      <c r="F250" s="111"/>
      <c r="G250" s="111"/>
      <c r="H250" s="111"/>
      <c r="I250" s="111"/>
      <c r="J250" s="111"/>
    </row>
    <row r="251" spans="1:10" ht="15" thickBot="1" x14ac:dyDescent="0.35">
      <c r="A251" s="128" t="s">
        <v>376</v>
      </c>
      <c r="B251" s="112"/>
      <c r="C251" s="39" t="s">
        <v>19</v>
      </c>
      <c r="D251" s="11" t="s">
        <v>20</v>
      </c>
      <c r="E251" s="32" t="s">
        <v>12</v>
      </c>
      <c r="F251" s="32" t="s">
        <v>13</v>
      </c>
      <c r="G251" s="32" t="s">
        <v>14</v>
      </c>
      <c r="H251" s="32" t="s">
        <v>15</v>
      </c>
      <c r="I251" s="30" t="s">
        <v>378</v>
      </c>
      <c r="J251" s="30" t="s">
        <v>21</v>
      </c>
    </row>
    <row r="252" spans="1:10" ht="15" thickBot="1" x14ac:dyDescent="0.35">
      <c r="A252" s="129" t="s">
        <v>18</v>
      </c>
      <c r="B252" s="126" t="s">
        <v>379</v>
      </c>
      <c r="C252" s="127"/>
      <c r="D252" s="127"/>
      <c r="E252" s="127"/>
      <c r="F252" s="127"/>
      <c r="G252" s="127"/>
      <c r="H252" s="127"/>
      <c r="I252" s="127"/>
      <c r="J252" s="127"/>
    </row>
    <row r="253" spans="1:10" x14ac:dyDescent="0.3">
      <c r="A253" s="139"/>
      <c r="B253" s="13" t="s">
        <v>380</v>
      </c>
      <c r="C253" s="23" t="s">
        <v>312</v>
      </c>
      <c r="D253" s="15"/>
      <c r="E253" s="16">
        <f>F253 + G253 + H253</f>
        <v>0</v>
      </c>
      <c r="F253" s="17">
        <f>D253 * 0.0804</f>
        <v>0</v>
      </c>
      <c r="G253" s="17">
        <f>D253 * 0.00001</f>
        <v>0</v>
      </c>
      <c r="H253" s="17">
        <f>D253 * 0.00076</f>
        <v>0</v>
      </c>
      <c r="I253" s="13" t="s">
        <v>381</v>
      </c>
      <c r="J253" s="13" t="s">
        <v>58</v>
      </c>
    </row>
    <row r="254" spans="1:10" x14ac:dyDescent="0.3">
      <c r="A254" s="139"/>
      <c r="B254" s="13" t="s">
        <v>382</v>
      </c>
      <c r="C254" s="23" t="s">
        <v>312</v>
      </c>
      <c r="D254" s="19"/>
      <c r="E254" s="16">
        <f>F254 + G254 + H254</f>
        <v>0</v>
      </c>
      <c r="F254" s="17">
        <f>D254 * 0.07908</f>
        <v>0</v>
      </c>
      <c r="G254" s="17">
        <f>D254 * 0.00001</f>
        <v>0</v>
      </c>
      <c r="H254" s="17">
        <f>D254 * 0.00075</f>
        <v>0</v>
      </c>
      <c r="I254" s="13" t="s">
        <v>381</v>
      </c>
      <c r="J254" s="13" t="s">
        <v>58</v>
      </c>
    </row>
    <row r="255" spans="1:10" ht="15" thickBot="1" x14ac:dyDescent="0.35">
      <c r="A255" s="139"/>
      <c r="B255" s="13" t="s">
        <v>383</v>
      </c>
      <c r="C255" s="23" t="s">
        <v>312</v>
      </c>
      <c r="D255" s="22"/>
      <c r="E255" s="16">
        <f>F255 + G255 + H255</f>
        <v>0</v>
      </c>
      <c r="F255" s="17">
        <f>D255 * 0.11863</f>
        <v>0</v>
      </c>
      <c r="G255" s="17">
        <f>D255 * 0.00001</f>
        <v>0</v>
      </c>
      <c r="H255" s="17">
        <f>D255 * 0.00112</f>
        <v>0</v>
      </c>
      <c r="I255" s="13" t="s">
        <v>381</v>
      </c>
      <c r="J255" s="13" t="s">
        <v>58</v>
      </c>
    </row>
    <row r="256" spans="1:10" ht="15" thickBot="1" x14ac:dyDescent="0.35">
      <c r="A256" s="129"/>
      <c r="B256" s="126" t="s">
        <v>384</v>
      </c>
      <c r="C256" s="127"/>
      <c r="D256" s="127"/>
      <c r="E256" s="127"/>
      <c r="F256" s="127"/>
      <c r="G256" s="127"/>
      <c r="H256" s="127"/>
      <c r="I256" s="127"/>
      <c r="J256" s="127"/>
    </row>
    <row r="257" spans="1:10" x14ac:dyDescent="0.3">
      <c r="A257" s="139"/>
      <c r="B257" s="13" t="s">
        <v>380</v>
      </c>
      <c r="C257" s="23" t="s">
        <v>312</v>
      </c>
      <c r="D257" s="15"/>
      <c r="E257" s="16">
        <f>F257 + G257 + H257</f>
        <v>0</v>
      </c>
      <c r="F257" s="17">
        <f>D257 * 0.10111</f>
        <v>0</v>
      </c>
      <c r="G257" s="17">
        <f>D257 * 0.00001</f>
        <v>0</v>
      </c>
      <c r="H257" s="17">
        <f>D257 * 0.00096</f>
        <v>0</v>
      </c>
      <c r="I257" s="13" t="s">
        <v>381</v>
      </c>
      <c r="J257" s="13" t="s">
        <v>58</v>
      </c>
    </row>
    <row r="258" spans="1:10" x14ac:dyDescent="0.3">
      <c r="A258" s="139"/>
      <c r="B258" s="13" t="s">
        <v>382</v>
      </c>
      <c r="C258" s="23" t="s">
        <v>312</v>
      </c>
      <c r="D258" s="19"/>
      <c r="E258" s="16">
        <f>F258 + G258 + H258</f>
        <v>0</v>
      </c>
      <c r="F258" s="17">
        <f>D258 * 0.07744</f>
        <v>0</v>
      </c>
      <c r="G258" s="17">
        <f>D258 * 0.00001</f>
        <v>0</v>
      </c>
      <c r="H258" s="17">
        <f>D258 * 0.00073</f>
        <v>0</v>
      </c>
      <c r="I258" s="13" t="s">
        <v>381</v>
      </c>
      <c r="J258" s="13" t="s">
        <v>58</v>
      </c>
    </row>
    <row r="259" spans="1:10" x14ac:dyDescent="0.3">
      <c r="A259" s="139"/>
      <c r="B259" s="13" t="s">
        <v>385</v>
      </c>
      <c r="C259" s="23" t="s">
        <v>312</v>
      </c>
      <c r="D259" s="19"/>
      <c r="E259" s="16">
        <f>F259 + G259 + H259</f>
        <v>0</v>
      </c>
      <c r="F259" s="17">
        <f>D259 * 0.1239</f>
        <v>0</v>
      </c>
      <c r="G259" s="17">
        <f>D259 * 0.00001</f>
        <v>0</v>
      </c>
      <c r="H259" s="17">
        <f>D259 * 0.00117</f>
        <v>0</v>
      </c>
      <c r="I259" s="13" t="s">
        <v>381</v>
      </c>
      <c r="J259" s="13" t="s">
        <v>58</v>
      </c>
    </row>
    <row r="260" spans="1:10" x14ac:dyDescent="0.3">
      <c r="A260" s="139"/>
      <c r="B260" s="13" t="s">
        <v>383</v>
      </c>
      <c r="C260" s="23" t="s">
        <v>312</v>
      </c>
      <c r="D260" s="19"/>
      <c r="E260" s="16">
        <f>F260 + G260 + H260</f>
        <v>0</v>
      </c>
      <c r="F260" s="17">
        <f>D260 * 0.22457</f>
        <v>0</v>
      </c>
      <c r="G260" s="17">
        <f>D260 * 0.00002</f>
        <v>0</v>
      </c>
      <c r="H260" s="17">
        <f>D260 * 0.00212</f>
        <v>0</v>
      </c>
      <c r="I260" s="13" t="s">
        <v>381</v>
      </c>
      <c r="J260" s="13" t="s">
        <v>58</v>
      </c>
    </row>
    <row r="261" spans="1:10" ht="15" thickBot="1" x14ac:dyDescent="0.35">
      <c r="A261" s="139"/>
      <c r="B261" s="13" t="s">
        <v>386</v>
      </c>
      <c r="C261" s="23" t="s">
        <v>312</v>
      </c>
      <c r="D261" s="22"/>
      <c r="E261" s="44">
        <f>F261 + G261 + H261</f>
        <v>0</v>
      </c>
      <c r="F261" s="45">
        <f>D261 * 0.30975</f>
        <v>0</v>
      </c>
      <c r="G261" s="45">
        <f>D261 * 0.00002</f>
        <v>0</v>
      </c>
      <c r="H261" s="45">
        <f>D261 * 0.00293</f>
        <v>0</v>
      </c>
      <c r="I261" s="13" t="s">
        <v>381</v>
      </c>
      <c r="J261" s="13" t="s">
        <v>58</v>
      </c>
    </row>
    <row r="262" spans="1:10" x14ac:dyDescent="0.3">
      <c r="B262" s="26"/>
      <c r="C262" s="26"/>
      <c r="D262" s="27" t="s">
        <v>39</v>
      </c>
      <c r="E262" s="28">
        <f>SUM(E253:E255,E257:E261)</f>
        <v>0</v>
      </c>
      <c r="F262" s="29">
        <f>SUM(F253:F255,F257:F261)</f>
        <v>0</v>
      </c>
      <c r="G262" s="29">
        <f>SUM(G253:G255,G257:G261)</f>
        <v>0</v>
      </c>
      <c r="H262" s="29">
        <f>SUM(H253:H255,H257:H261)</f>
        <v>0</v>
      </c>
      <c r="I262" s="26"/>
      <c r="J262" s="26"/>
    </row>
    <row r="264" spans="1:10" ht="15" thickBot="1" x14ac:dyDescent="0.35">
      <c r="A264" s="111" t="s">
        <v>387</v>
      </c>
      <c r="B264" s="111"/>
      <c r="C264" s="111"/>
      <c r="D264" s="111"/>
      <c r="E264" s="111"/>
      <c r="F264" s="111"/>
      <c r="G264" s="111"/>
      <c r="H264" s="111"/>
      <c r="I264" s="111"/>
      <c r="J264" s="111"/>
    </row>
    <row r="265" spans="1:10" ht="15" thickBot="1" x14ac:dyDescent="0.35">
      <c r="A265" s="128" t="s">
        <v>18</v>
      </c>
      <c r="B265" s="137"/>
      <c r="C265" s="39" t="s">
        <v>19</v>
      </c>
      <c r="D265" s="51" t="s">
        <v>20</v>
      </c>
      <c r="E265" s="32" t="s">
        <v>12</v>
      </c>
      <c r="F265" s="32" t="s">
        <v>13</v>
      </c>
      <c r="G265" s="32" t="s">
        <v>14</v>
      </c>
      <c r="H265" s="32" t="s">
        <v>15</v>
      </c>
      <c r="I265" s="30" t="s">
        <v>309</v>
      </c>
      <c r="J265" s="30" t="s">
        <v>21</v>
      </c>
    </row>
    <row r="266" spans="1:10" x14ac:dyDescent="0.3">
      <c r="A266" s="139" t="s">
        <v>388</v>
      </c>
      <c r="B266" s="13" t="s">
        <v>389</v>
      </c>
      <c r="C266" s="23" t="s">
        <v>390</v>
      </c>
      <c r="D266" s="15"/>
      <c r="E266" s="16">
        <f>F266 + G266 + H266</f>
        <v>0</v>
      </c>
      <c r="F266" s="17">
        <f>D266 * 463.0918689787</f>
        <v>0</v>
      </c>
      <c r="G266" s="17">
        <f>D266 * 0.0901394454</f>
        <v>0</v>
      </c>
      <c r="H266" s="17">
        <f>D266 * 3.4124218615</f>
        <v>0</v>
      </c>
      <c r="I266" s="13" t="s">
        <v>391</v>
      </c>
      <c r="J266" s="13" t="s">
        <v>58</v>
      </c>
    </row>
    <row r="267" spans="1:10" x14ac:dyDescent="0.3">
      <c r="A267" s="139"/>
      <c r="B267" s="13" t="s">
        <v>392</v>
      </c>
      <c r="C267" s="23" t="s">
        <v>390</v>
      </c>
      <c r="D267" s="19"/>
      <c r="E267" s="16">
        <f>F267 + G267 + H267</f>
        <v>0</v>
      </c>
      <c r="F267" s="17">
        <f>D267 * 479.1206372462</f>
        <v>0</v>
      </c>
      <c r="G267" s="17">
        <f>D267 * 0.0932593971</f>
        <v>0</v>
      </c>
      <c r="H267" s="17">
        <f>D267 * 3.5305343202</f>
        <v>0</v>
      </c>
      <c r="I267" s="13" t="s">
        <v>391</v>
      </c>
      <c r="J267" s="13" t="s">
        <v>58</v>
      </c>
    </row>
    <row r="268" spans="1:10" x14ac:dyDescent="0.3">
      <c r="A268" s="139"/>
      <c r="B268" s="13" t="s">
        <v>393</v>
      </c>
      <c r="C268" s="23" t="s">
        <v>390</v>
      </c>
      <c r="D268" s="19"/>
      <c r="E268" s="16">
        <f>F268 + G268 + H268</f>
        <v>0</v>
      </c>
      <c r="F268" s="17">
        <f>D268 * 184.3281825027</f>
        <v>0</v>
      </c>
      <c r="G268" s="17">
        <f>D268 * 0.0372060889</f>
        <v>0</v>
      </c>
      <c r="H268" s="17">
        <f>D268 * 1.4085162224</f>
        <v>0</v>
      </c>
      <c r="I268" s="13" t="s">
        <v>391</v>
      </c>
      <c r="J268" s="13" t="s">
        <v>58</v>
      </c>
    </row>
    <row r="269" spans="1:10" x14ac:dyDescent="0.3">
      <c r="A269" s="139"/>
      <c r="B269" s="13" t="s">
        <v>394</v>
      </c>
      <c r="C269" s="23" t="s">
        <v>390</v>
      </c>
      <c r="D269" s="19"/>
      <c r="E269" s="16">
        <f>F269 + G269 + H269</f>
        <v>0</v>
      </c>
      <c r="F269" s="17">
        <f>D269 * 127.611138289</f>
        <v>0</v>
      </c>
      <c r="G269" s="17">
        <f>D269 * 0.0257579242</f>
        <v>0</v>
      </c>
      <c r="H269" s="17">
        <f>D269 * 0.9751214166</f>
        <v>0</v>
      </c>
      <c r="I269" s="13" t="s">
        <v>391</v>
      </c>
      <c r="J269" s="13" t="s">
        <v>58</v>
      </c>
    </row>
    <row r="270" spans="1:10" ht="15" thickBot="1" x14ac:dyDescent="0.35">
      <c r="A270" s="139"/>
      <c r="B270" s="13" t="s">
        <v>395</v>
      </c>
      <c r="C270" s="23" t="s">
        <v>390</v>
      </c>
      <c r="D270" s="22"/>
      <c r="E270" s="44">
        <f>F270 + G270 + H270</f>
        <v>0</v>
      </c>
      <c r="F270" s="45">
        <f>D270 * 319.255474315</f>
        <v>0</v>
      </c>
      <c r="G270" s="45">
        <f>D270 * 0.0621421219</f>
        <v>0</v>
      </c>
      <c r="H270" s="45">
        <f>D270 * 2.352523188</f>
        <v>0</v>
      </c>
      <c r="I270" s="13" t="s">
        <v>391</v>
      </c>
      <c r="J270" s="13" t="s">
        <v>58</v>
      </c>
    </row>
    <row r="271" spans="1:10" x14ac:dyDescent="0.3">
      <c r="B271" s="26"/>
      <c r="C271" s="26"/>
      <c r="D271" s="27" t="s">
        <v>39</v>
      </c>
      <c r="E271" s="46">
        <f>SUM(E266:E270)</f>
        <v>0</v>
      </c>
      <c r="F271" s="47">
        <f>SUM(F266:F270)</f>
        <v>0</v>
      </c>
      <c r="G271" s="47">
        <f>SUM(G266:G270)</f>
        <v>0</v>
      </c>
      <c r="H271" s="47">
        <f>SUM(H266:H270)</f>
        <v>0</v>
      </c>
      <c r="I271" s="26"/>
      <c r="J271" s="26"/>
    </row>
    <row r="273" spans="1:8" ht="15" thickBot="1" x14ac:dyDescent="0.35">
      <c r="A273" s="153" t="s">
        <v>396</v>
      </c>
      <c r="B273" s="131"/>
      <c r="C273" s="131"/>
      <c r="D273" s="131"/>
      <c r="E273" s="131"/>
      <c r="F273" s="131"/>
      <c r="G273" s="131"/>
      <c r="H273" s="131"/>
    </row>
    <row r="274" spans="1:8" ht="15" thickBot="1" x14ac:dyDescent="0.35">
      <c r="A274" s="128" t="s">
        <v>18</v>
      </c>
      <c r="B274" s="137"/>
      <c r="C274" s="39" t="s">
        <v>19</v>
      </c>
      <c r="D274" s="51" t="s">
        <v>20</v>
      </c>
      <c r="E274" s="32" t="s">
        <v>12</v>
      </c>
      <c r="F274" s="137" t="s">
        <v>309</v>
      </c>
      <c r="G274" s="154"/>
      <c r="H274" s="30" t="s">
        <v>21</v>
      </c>
    </row>
    <row r="275" spans="1:8" x14ac:dyDescent="0.3">
      <c r="A275" s="139" t="s">
        <v>397</v>
      </c>
      <c r="B275" s="13" t="s">
        <v>398</v>
      </c>
      <c r="C275" s="23" t="s">
        <v>399</v>
      </c>
      <c r="D275" s="15"/>
      <c r="E275" s="16">
        <f>D275 * 50</f>
        <v>0</v>
      </c>
      <c r="F275" s="140" t="s">
        <v>400</v>
      </c>
      <c r="G275" s="140"/>
      <c r="H275" s="23" t="s">
        <v>58</v>
      </c>
    </row>
    <row r="276" spans="1:8" x14ac:dyDescent="0.3">
      <c r="A276" s="139"/>
      <c r="B276" s="13" t="s">
        <v>401</v>
      </c>
      <c r="C276" s="23" t="s">
        <v>399</v>
      </c>
      <c r="D276" s="19"/>
      <c r="E276" s="16">
        <f>D276 * 38.9</f>
        <v>0</v>
      </c>
      <c r="F276" s="140" t="s">
        <v>400</v>
      </c>
      <c r="G276" s="140"/>
      <c r="H276" s="23" t="s">
        <v>58</v>
      </c>
    </row>
    <row r="277" spans="1:8" x14ac:dyDescent="0.3">
      <c r="A277" s="139"/>
      <c r="B277" s="13" t="s">
        <v>402</v>
      </c>
      <c r="C277" s="23" t="s">
        <v>399</v>
      </c>
      <c r="D277" s="19"/>
      <c r="E277" s="16">
        <f>D277 * 11.9</f>
        <v>0</v>
      </c>
      <c r="F277" s="140" t="s">
        <v>400</v>
      </c>
      <c r="G277" s="140"/>
      <c r="H277" s="23" t="s">
        <v>58</v>
      </c>
    </row>
    <row r="278" spans="1:8" x14ac:dyDescent="0.3">
      <c r="A278" s="139"/>
      <c r="B278" s="13" t="s">
        <v>403</v>
      </c>
      <c r="C278" s="23" t="s">
        <v>399</v>
      </c>
      <c r="D278" s="19"/>
      <c r="E278" s="16">
        <f>D278 * 11.6</f>
        <v>0</v>
      </c>
      <c r="F278" s="140" t="s">
        <v>400</v>
      </c>
      <c r="G278" s="140"/>
      <c r="H278" s="23" t="s">
        <v>58</v>
      </c>
    </row>
    <row r="279" spans="1:8" x14ac:dyDescent="0.3">
      <c r="A279" s="139"/>
      <c r="B279" s="13" t="s">
        <v>404</v>
      </c>
      <c r="C279" s="23" t="s">
        <v>399</v>
      </c>
      <c r="D279" s="19"/>
      <c r="E279" s="16">
        <f>D279 * 14.9</f>
        <v>0</v>
      </c>
      <c r="F279" s="140" t="s">
        <v>400</v>
      </c>
      <c r="G279" s="140"/>
      <c r="H279" s="23" t="s">
        <v>58</v>
      </c>
    </row>
    <row r="280" spans="1:8" x14ac:dyDescent="0.3">
      <c r="A280" s="139"/>
      <c r="B280" s="13" t="s">
        <v>405</v>
      </c>
      <c r="C280" s="23" t="s">
        <v>399</v>
      </c>
      <c r="D280" s="19"/>
      <c r="E280" s="16">
        <f>D280 * 17.1</f>
        <v>0</v>
      </c>
      <c r="F280" s="140" t="s">
        <v>400</v>
      </c>
      <c r="G280" s="140"/>
      <c r="H280" s="23" t="s">
        <v>58</v>
      </c>
    </row>
    <row r="281" spans="1:8" x14ac:dyDescent="0.3">
      <c r="A281" s="139"/>
      <c r="B281" s="13" t="s">
        <v>406</v>
      </c>
      <c r="C281" s="23" t="s">
        <v>399</v>
      </c>
      <c r="D281" s="19"/>
      <c r="E281" s="16">
        <f>D281 * 61.1</f>
        <v>0</v>
      </c>
      <c r="F281" s="140" t="s">
        <v>400</v>
      </c>
      <c r="G281" s="140"/>
      <c r="H281" s="23" t="s">
        <v>58</v>
      </c>
    </row>
    <row r="282" spans="1:8" x14ac:dyDescent="0.3">
      <c r="A282" s="139"/>
      <c r="B282" s="13" t="s">
        <v>407</v>
      </c>
      <c r="C282" s="23" t="s">
        <v>399</v>
      </c>
      <c r="D282" s="19"/>
      <c r="E282" s="16">
        <f>D282 * 30.8</f>
        <v>0</v>
      </c>
      <c r="F282" s="140" t="s">
        <v>400</v>
      </c>
      <c r="G282" s="140"/>
      <c r="H282" s="23" t="s">
        <v>58</v>
      </c>
    </row>
    <row r="283" spans="1:8" x14ac:dyDescent="0.3">
      <c r="A283" s="139"/>
      <c r="B283" s="13" t="s">
        <v>408</v>
      </c>
      <c r="C283" s="23" t="s">
        <v>399</v>
      </c>
      <c r="D283" s="19"/>
      <c r="E283" s="16">
        <f>D283 * 60.7</f>
        <v>0</v>
      </c>
      <c r="F283" s="140" t="s">
        <v>400</v>
      </c>
      <c r="G283" s="140"/>
      <c r="H283" s="23" t="s">
        <v>58</v>
      </c>
    </row>
    <row r="284" spans="1:8" x14ac:dyDescent="0.3">
      <c r="A284" s="139"/>
      <c r="B284" s="13" t="s">
        <v>409</v>
      </c>
      <c r="C284" s="23" t="s">
        <v>399</v>
      </c>
      <c r="D284" s="19"/>
      <c r="E284" s="16">
        <f>D284 * 11</f>
        <v>0</v>
      </c>
      <c r="F284" s="140" t="s">
        <v>400</v>
      </c>
      <c r="G284" s="140"/>
      <c r="H284" s="23" t="s">
        <v>58</v>
      </c>
    </row>
    <row r="285" spans="1:8" x14ac:dyDescent="0.3">
      <c r="A285" s="139"/>
      <c r="B285" s="13" t="s">
        <v>410</v>
      </c>
      <c r="C285" s="23" t="s">
        <v>399</v>
      </c>
      <c r="D285" s="19"/>
      <c r="E285" s="16">
        <f>D285 * 7</f>
        <v>0</v>
      </c>
      <c r="F285" s="140" t="s">
        <v>400</v>
      </c>
      <c r="G285" s="140"/>
      <c r="H285" s="23" t="s">
        <v>58</v>
      </c>
    </row>
    <row r="286" spans="1:8" x14ac:dyDescent="0.3">
      <c r="A286" s="139"/>
      <c r="B286" s="13" t="s">
        <v>411</v>
      </c>
      <c r="C286" s="23" t="s">
        <v>399</v>
      </c>
      <c r="D286" s="19"/>
      <c r="E286" s="16">
        <f>D286 * 31.8</f>
        <v>0</v>
      </c>
      <c r="F286" s="140" t="s">
        <v>400</v>
      </c>
      <c r="G286" s="140"/>
      <c r="H286" s="23" t="s">
        <v>58</v>
      </c>
    </row>
    <row r="287" spans="1:8" x14ac:dyDescent="0.3">
      <c r="A287" s="139"/>
      <c r="B287" s="13" t="s">
        <v>412</v>
      </c>
      <c r="C287" s="23" t="s">
        <v>399</v>
      </c>
      <c r="D287" s="19"/>
      <c r="E287" s="16">
        <f>D287 * 54</f>
        <v>0</v>
      </c>
      <c r="F287" s="140" t="s">
        <v>400</v>
      </c>
      <c r="G287" s="140"/>
      <c r="H287" s="23" t="s">
        <v>58</v>
      </c>
    </row>
    <row r="288" spans="1:8" x14ac:dyDescent="0.3">
      <c r="A288" s="139"/>
      <c r="B288" s="13" t="s">
        <v>413</v>
      </c>
      <c r="C288" s="23" t="s">
        <v>399</v>
      </c>
      <c r="D288" s="19"/>
      <c r="E288" s="16">
        <f>D288 * 54.8</f>
        <v>0</v>
      </c>
      <c r="F288" s="140" t="s">
        <v>400</v>
      </c>
      <c r="G288" s="140"/>
      <c r="H288" s="23" t="s">
        <v>58</v>
      </c>
    </row>
    <row r="289" spans="1:8" x14ac:dyDescent="0.3">
      <c r="A289" s="139"/>
      <c r="B289" s="13" t="s">
        <v>414</v>
      </c>
      <c r="C289" s="23" t="s">
        <v>399</v>
      </c>
      <c r="D289" s="19"/>
      <c r="E289" s="16">
        <f>D289 * 11.1</f>
        <v>0</v>
      </c>
      <c r="F289" s="140" t="s">
        <v>400</v>
      </c>
      <c r="G289" s="140"/>
      <c r="H289" s="23" t="s">
        <v>58</v>
      </c>
    </row>
    <row r="290" spans="1:8" x14ac:dyDescent="0.3">
      <c r="A290" s="139"/>
      <c r="B290" s="13" t="s">
        <v>415</v>
      </c>
      <c r="C290" s="23" t="s">
        <v>399</v>
      </c>
      <c r="D290" s="19"/>
      <c r="E290" s="16">
        <f>D290 * 7.5</f>
        <v>0</v>
      </c>
      <c r="F290" s="140" t="s">
        <v>400</v>
      </c>
      <c r="G290" s="140"/>
      <c r="H290" s="23" t="s">
        <v>58</v>
      </c>
    </row>
    <row r="291" spans="1:8" x14ac:dyDescent="0.3">
      <c r="A291" s="139"/>
      <c r="B291" s="13" t="s">
        <v>416</v>
      </c>
      <c r="C291" s="23" t="s">
        <v>399</v>
      </c>
      <c r="D291" s="19"/>
      <c r="E291" s="16">
        <f>D291 * 18.2</f>
        <v>0</v>
      </c>
      <c r="F291" s="140" t="s">
        <v>400</v>
      </c>
      <c r="G291" s="140"/>
      <c r="H291" s="23" t="s">
        <v>58</v>
      </c>
    </row>
    <row r="292" spans="1:8" x14ac:dyDescent="0.3">
      <c r="A292" s="139"/>
      <c r="B292" s="13" t="s">
        <v>417</v>
      </c>
      <c r="C292" s="23" t="s">
        <v>399</v>
      </c>
      <c r="D292" s="19"/>
      <c r="E292" s="16">
        <f>D292 * 42.8</f>
        <v>0</v>
      </c>
      <c r="F292" s="140" t="s">
        <v>400</v>
      </c>
      <c r="G292" s="140"/>
      <c r="H292" s="23" t="s">
        <v>58</v>
      </c>
    </row>
    <row r="293" spans="1:8" x14ac:dyDescent="0.3">
      <c r="A293" s="139"/>
      <c r="B293" s="13" t="s">
        <v>418</v>
      </c>
      <c r="C293" s="23" t="s">
        <v>399</v>
      </c>
      <c r="D293" s="19"/>
      <c r="E293" s="16">
        <f>D293 * 66.2</f>
        <v>0</v>
      </c>
      <c r="F293" s="140" t="s">
        <v>400</v>
      </c>
      <c r="G293" s="140"/>
      <c r="H293" s="23" t="s">
        <v>58</v>
      </c>
    </row>
    <row r="294" spans="1:8" x14ac:dyDescent="0.3">
      <c r="A294" s="139"/>
      <c r="B294" s="13" t="s">
        <v>419</v>
      </c>
      <c r="C294" s="23" t="s">
        <v>399</v>
      </c>
      <c r="D294" s="19"/>
      <c r="E294" s="16">
        <f>D294 * 22</f>
        <v>0</v>
      </c>
      <c r="F294" s="140" t="s">
        <v>400</v>
      </c>
      <c r="G294" s="140"/>
      <c r="H294" s="23" t="s">
        <v>58</v>
      </c>
    </row>
    <row r="295" spans="1:8" x14ac:dyDescent="0.3">
      <c r="A295" s="139"/>
      <c r="B295" s="13" t="s">
        <v>420</v>
      </c>
      <c r="C295" s="23" t="s">
        <v>399</v>
      </c>
      <c r="D295" s="19"/>
      <c r="E295" s="16">
        <f>D295 * 66</f>
        <v>0</v>
      </c>
      <c r="F295" s="140" t="s">
        <v>400</v>
      </c>
      <c r="G295" s="140"/>
      <c r="H295" s="23" t="s">
        <v>58</v>
      </c>
    </row>
    <row r="296" spans="1:8" x14ac:dyDescent="0.3">
      <c r="A296" s="139"/>
      <c r="B296" s="13" t="s">
        <v>421</v>
      </c>
      <c r="C296" s="23" t="s">
        <v>399</v>
      </c>
      <c r="D296" s="19"/>
      <c r="E296" s="16">
        <f>D296 * 88.2</f>
        <v>0</v>
      </c>
      <c r="F296" s="140" t="s">
        <v>400</v>
      </c>
      <c r="G296" s="140"/>
      <c r="H296" s="23" t="s">
        <v>58</v>
      </c>
    </row>
    <row r="297" spans="1:8" x14ac:dyDescent="0.3">
      <c r="A297" s="139"/>
      <c r="B297" s="13" t="s">
        <v>422</v>
      </c>
      <c r="C297" s="23" t="s">
        <v>399</v>
      </c>
      <c r="D297" s="19"/>
      <c r="E297" s="16">
        <f>D297 * 23.9</f>
        <v>0</v>
      </c>
      <c r="F297" s="140" t="s">
        <v>400</v>
      </c>
      <c r="G297" s="140"/>
      <c r="H297" s="23" t="s">
        <v>58</v>
      </c>
    </row>
    <row r="298" spans="1:8" x14ac:dyDescent="0.3">
      <c r="A298" s="139"/>
      <c r="B298" s="13" t="s">
        <v>423</v>
      </c>
      <c r="C298" s="23" t="s">
        <v>399</v>
      </c>
      <c r="D298" s="19"/>
      <c r="E298" s="16">
        <f>D298 * 51.8</f>
        <v>0</v>
      </c>
      <c r="F298" s="140" t="s">
        <v>400</v>
      </c>
      <c r="G298" s="140"/>
      <c r="H298" s="23" t="s">
        <v>58</v>
      </c>
    </row>
    <row r="299" spans="1:8" x14ac:dyDescent="0.3">
      <c r="A299" s="139"/>
      <c r="B299" s="13" t="s">
        <v>424</v>
      </c>
      <c r="C299" s="23" t="s">
        <v>399</v>
      </c>
      <c r="D299" s="19"/>
      <c r="E299" s="16">
        <f>D299 * 23.9</f>
        <v>0</v>
      </c>
      <c r="F299" s="140" t="s">
        <v>400</v>
      </c>
      <c r="G299" s="140"/>
      <c r="H299" s="23" t="s">
        <v>58</v>
      </c>
    </row>
    <row r="300" spans="1:8" x14ac:dyDescent="0.3">
      <c r="A300" s="139"/>
      <c r="B300" s="13" t="s">
        <v>425</v>
      </c>
      <c r="C300" s="23" t="s">
        <v>399</v>
      </c>
      <c r="D300" s="19"/>
      <c r="E300" s="16">
        <f>D300 * 54.7</f>
        <v>0</v>
      </c>
      <c r="F300" s="140" t="s">
        <v>400</v>
      </c>
      <c r="G300" s="140"/>
      <c r="H300" s="23" t="s">
        <v>58</v>
      </c>
    </row>
    <row r="301" spans="1:8" x14ac:dyDescent="0.3">
      <c r="A301" s="139"/>
      <c r="B301" s="13" t="s">
        <v>426</v>
      </c>
      <c r="C301" s="23" t="s">
        <v>399</v>
      </c>
      <c r="D301" s="19"/>
      <c r="E301" s="16">
        <f>D301 * 64.5</f>
        <v>0</v>
      </c>
      <c r="F301" s="140" t="s">
        <v>400</v>
      </c>
      <c r="G301" s="140"/>
      <c r="H301" s="23" t="s">
        <v>58</v>
      </c>
    </row>
    <row r="302" spans="1:8" x14ac:dyDescent="0.3">
      <c r="A302" s="139"/>
      <c r="B302" s="13" t="s">
        <v>427</v>
      </c>
      <c r="C302" s="23" t="s">
        <v>399</v>
      </c>
      <c r="D302" s="19"/>
      <c r="E302" s="16">
        <f>D302 * 105.7</f>
        <v>0</v>
      </c>
      <c r="F302" s="140" t="s">
        <v>400</v>
      </c>
      <c r="G302" s="140"/>
      <c r="H302" s="23" t="s">
        <v>58</v>
      </c>
    </row>
    <row r="303" spans="1:8" x14ac:dyDescent="0.3">
      <c r="A303" s="139"/>
      <c r="B303" s="13" t="s">
        <v>428</v>
      </c>
      <c r="C303" s="23" t="s">
        <v>399</v>
      </c>
      <c r="D303" s="19"/>
      <c r="E303" s="16">
        <f>D303 * 68.1</f>
        <v>0</v>
      </c>
      <c r="F303" s="140" t="s">
        <v>400</v>
      </c>
      <c r="G303" s="140"/>
      <c r="H303" s="23" t="s">
        <v>58</v>
      </c>
    </row>
    <row r="304" spans="1:8" x14ac:dyDescent="0.3">
      <c r="A304" s="139"/>
      <c r="B304" s="13" t="s">
        <v>429</v>
      </c>
      <c r="C304" s="23" t="s">
        <v>399</v>
      </c>
      <c r="D304" s="19"/>
      <c r="E304" s="16">
        <f>D304 * 80.3</f>
        <v>0</v>
      </c>
      <c r="F304" s="140" t="s">
        <v>400</v>
      </c>
      <c r="G304" s="140"/>
      <c r="H304" s="23" t="s">
        <v>58</v>
      </c>
    </row>
    <row r="305" spans="1:8" x14ac:dyDescent="0.3">
      <c r="A305" s="139"/>
      <c r="B305" s="13" t="s">
        <v>430</v>
      </c>
      <c r="C305" s="23" t="s">
        <v>399</v>
      </c>
      <c r="D305" s="19"/>
      <c r="E305" s="16">
        <f>D305 * 176.5</f>
        <v>0</v>
      </c>
      <c r="F305" s="140" t="s">
        <v>400</v>
      </c>
      <c r="G305" s="140"/>
      <c r="H305" s="23" t="s">
        <v>58</v>
      </c>
    </row>
    <row r="306" spans="1:8" x14ac:dyDescent="0.3">
      <c r="A306" s="139"/>
      <c r="B306" s="13" t="s">
        <v>431</v>
      </c>
      <c r="C306" s="23" t="s">
        <v>399</v>
      </c>
      <c r="D306" s="19"/>
      <c r="E306" s="16">
        <f>D306 * 27</f>
        <v>0</v>
      </c>
      <c r="F306" s="140" t="s">
        <v>400</v>
      </c>
      <c r="G306" s="140"/>
      <c r="H306" s="23" t="s">
        <v>58</v>
      </c>
    </row>
    <row r="307" spans="1:8" x14ac:dyDescent="0.3">
      <c r="A307" s="139"/>
      <c r="B307" s="13" t="s">
        <v>432</v>
      </c>
      <c r="C307" s="23" t="s">
        <v>399</v>
      </c>
      <c r="D307" s="19"/>
      <c r="E307" s="16">
        <f>D307 * 104</f>
        <v>0</v>
      </c>
      <c r="F307" s="140" t="s">
        <v>400</v>
      </c>
      <c r="G307" s="140"/>
      <c r="H307" s="23" t="s">
        <v>58</v>
      </c>
    </row>
    <row r="308" spans="1:8" x14ac:dyDescent="0.3">
      <c r="A308" s="139"/>
      <c r="B308" s="13" t="s">
        <v>433</v>
      </c>
      <c r="C308" s="23" t="s">
        <v>399</v>
      </c>
      <c r="D308" s="19"/>
      <c r="E308" s="16">
        <f>D308 * 21.2</f>
        <v>0</v>
      </c>
      <c r="F308" s="140" t="s">
        <v>400</v>
      </c>
      <c r="G308" s="140"/>
      <c r="H308" s="23" t="s">
        <v>58</v>
      </c>
    </row>
    <row r="309" spans="1:8" x14ac:dyDescent="0.3">
      <c r="A309" s="139"/>
      <c r="B309" s="13" t="s">
        <v>434</v>
      </c>
      <c r="C309" s="23" t="s">
        <v>399</v>
      </c>
      <c r="D309" s="19"/>
      <c r="E309" s="16">
        <f>D309 * 9.4</f>
        <v>0</v>
      </c>
      <c r="F309" s="140" t="s">
        <v>400</v>
      </c>
      <c r="G309" s="140"/>
      <c r="H309" s="23" t="s">
        <v>58</v>
      </c>
    </row>
    <row r="310" spans="1:8" x14ac:dyDescent="0.3">
      <c r="A310" s="139"/>
      <c r="B310" s="13" t="s">
        <v>435</v>
      </c>
      <c r="C310" s="23" t="s">
        <v>399</v>
      </c>
      <c r="D310" s="19"/>
      <c r="E310" s="16">
        <f>D310 * 117.3</f>
        <v>0</v>
      </c>
      <c r="F310" s="140" t="s">
        <v>400</v>
      </c>
      <c r="G310" s="140"/>
      <c r="H310" s="23" t="s">
        <v>58</v>
      </c>
    </row>
    <row r="311" spans="1:8" x14ac:dyDescent="0.3">
      <c r="A311" s="139"/>
      <c r="B311" s="13" t="s">
        <v>436</v>
      </c>
      <c r="C311" s="23" t="s">
        <v>399</v>
      </c>
      <c r="D311" s="19"/>
      <c r="E311" s="16">
        <f>D311 * 23.7</f>
        <v>0</v>
      </c>
      <c r="F311" s="140" t="s">
        <v>400</v>
      </c>
      <c r="G311" s="140"/>
      <c r="H311" s="23" t="s">
        <v>58</v>
      </c>
    </row>
    <row r="312" spans="1:8" x14ac:dyDescent="0.3">
      <c r="A312" s="139"/>
      <c r="B312" s="13" t="s">
        <v>437</v>
      </c>
      <c r="C312" s="23" t="s">
        <v>399</v>
      </c>
      <c r="D312" s="19"/>
      <c r="E312" s="16">
        <f>D312 * 29.9</f>
        <v>0</v>
      </c>
      <c r="F312" s="140" t="s">
        <v>400</v>
      </c>
      <c r="G312" s="140"/>
      <c r="H312" s="23" t="s">
        <v>58</v>
      </c>
    </row>
    <row r="313" spans="1:8" x14ac:dyDescent="0.3">
      <c r="A313" s="139"/>
      <c r="B313" s="13" t="s">
        <v>438</v>
      </c>
      <c r="C313" s="23" t="s">
        <v>399</v>
      </c>
      <c r="D313" s="19"/>
      <c r="E313" s="16">
        <f>D313 * 62.9</f>
        <v>0</v>
      </c>
      <c r="F313" s="140" t="s">
        <v>400</v>
      </c>
      <c r="G313" s="140"/>
      <c r="H313" s="23" t="s">
        <v>58</v>
      </c>
    </row>
    <row r="314" spans="1:8" x14ac:dyDescent="0.3">
      <c r="A314" s="139"/>
      <c r="B314" s="13" t="s">
        <v>439</v>
      </c>
      <c r="C314" s="23" t="s">
        <v>399</v>
      </c>
      <c r="D314" s="19"/>
      <c r="E314" s="16">
        <f>D314 * 35.8</f>
        <v>0</v>
      </c>
      <c r="F314" s="140" t="s">
        <v>400</v>
      </c>
      <c r="G314" s="140"/>
      <c r="H314" s="23" t="s">
        <v>58</v>
      </c>
    </row>
    <row r="315" spans="1:8" x14ac:dyDescent="0.3">
      <c r="A315" s="139"/>
      <c r="B315" s="13" t="s">
        <v>440</v>
      </c>
      <c r="C315" s="23" t="s">
        <v>399</v>
      </c>
      <c r="D315" s="19"/>
      <c r="E315" s="16">
        <f>D315 * 27.2</f>
        <v>0</v>
      </c>
      <c r="F315" s="140" t="s">
        <v>400</v>
      </c>
      <c r="G315" s="140"/>
      <c r="H315" s="23" t="s">
        <v>58</v>
      </c>
    </row>
    <row r="316" spans="1:8" x14ac:dyDescent="0.3">
      <c r="A316" s="139"/>
      <c r="B316" s="13" t="s">
        <v>441</v>
      </c>
      <c r="C316" s="23" t="s">
        <v>399</v>
      </c>
      <c r="D316" s="19"/>
      <c r="E316" s="16">
        <f>D316 * 104.9</f>
        <v>0</v>
      </c>
      <c r="F316" s="140" t="s">
        <v>400</v>
      </c>
      <c r="G316" s="140"/>
      <c r="H316" s="23" t="s">
        <v>58</v>
      </c>
    </row>
    <row r="317" spans="1:8" x14ac:dyDescent="0.3">
      <c r="A317" s="139"/>
      <c r="B317" s="13" t="s">
        <v>442</v>
      </c>
      <c r="C317" s="23" t="s">
        <v>399</v>
      </c>
      <c r="D317" s="19"/>
      <c r="E317" s="16">
        <f>D317 * 25.5</f>
        <v>0</v>
      </c>
      <c r="F317" s="140" t="s">
        <v>400</v>
      </c>
      <c r="G317" s="140"/>
      <c r="H317" s="23" t="s">
        <v>58</v>
      </c>
    </row>
    <row r="318" spans="1:8" x14ac:dyDescent="0.3">
      <c r="A318" s="139"/>
      <c r="B318" s="13" t="s">
        <v>443</v>
      </c>
      <c r="C318" s="23" t="s">
        <v>399</v>
      </c>
      <c r="D318" s="19"/>
      <c r="E318" s="16">
        <f>D318 * 30.9</f>
        <v>0</v>
      </c>
      <c r="F318" s="140" t="s">
        <v>400</v>
      </c>
      <c r="G318" s="140"/>
      <c r="H318" s="23" t="s">
        <v>58</v>
      </c>
    </row>
    <row r="319" spans="1:8" x14ac:dyDescent="0.3">
      <c r="A319" s="139"/>
      <c r="B319" s="13" t="s">
        <v>444</v>
      </c>
      <c r="C319" s="23" t="s">
        <v>399</v>
      </c>
      <c r="D319" s="19"/>
      <c r="E319" s="16">
        <f>D319 * 112.5</f>
        <v>0</v>
      </c>
      <c r="F319" s="140" t="s">
        <v>400</v>
      </c>
      <c r="G319" s="140"/>
      <c r="H319" s="23" t="s">
        <v>58</v>
      </c>
    </row>
    <row r="320" spans="1:8" x14ac:dyDescent="0.3">
      <c r="A320" s="139"/>
      <c r="B320" s="13" t="s">
        <v>445</v>
      </c>
      <c r="C320" s="23" t="s">
        <v>399</v>
      </c>
      <c r="D320" s="19"/>
      <c r="E320" s="16">
        <f>D320 * 28.5</f>
        <v>0</v>
      </c>
      <c r="F320" s="140" t="s">
        <v>400</v>
      </c>
      <c r="G320" s="140"/>
      <c r="H320" s="23" t="s">
        <v>58</v>
      </c>
    </row>
    <row r="321" spans="1:8" x14ac:dyDescent="0.3">
      <c r="A321" s="139"/>
      <c r="B321" s="13" t="s">
        <v>446</v>
      </c>
      <c r="C321" s="23" t="s">
        <v>399</v>
      </c>
      <c r="D321" s="19"/>
      <c r="E321" s="16">
        <f>D321 * 56.6</f>
        <v>0</v>
      </c>
      <c r="F321" s="140" t="s">
        <v>400</v>
      </c>
      <c r="G321" s="140"/>
      <c r="H321" s="23" t="s">
        <v>58</v>
      </c>
    </row>
    <row r="322" spans="1:8" x14ac:dyDescent="0.3">
      <c r="A322" s="139"/>
      <c r="B322" s="13" t="s">
        <v>447</v>
      </c>
      <c r="C322" s="23" t="s">
        <v>399</v>
      </c>
      <c r="D322" s="19"/>
      <c r="E322" s="16">
        <f>D322 * 56.5</f>
        <v>0</v>
      </c>
      <c r="F322" s="140" t="s">
        <v>400</v>
      </c>
      <c r="G322" s="140"/>
      <c r="H322" s="23" t="s">
        <v>58</v>
      </c>
    </row>
    <row r="323" spans="1:8" x14ac:dyDescent="0.3">
      <c r="A323" s="139"/>
      <c r="B323" s="13" t="s">
        <v>448</v>
      </c>
      <c r="C323" s="23" t="s">
        <v>399</v>
      </c>
      <c r="D323" s="19"/>
      <c r="E323" s="16">
        <f>D323 * 16.3</f>
        <v>0</v>
      </c>
      <c r="F323" s="140" t="s">
        <v>400</v>
      </c>
      <c r="G323" s="140"/>
      <c r="H323" s="23" t="s">
        <v>58</v>
      </c>
    </row>
    <row r="324" spans="1:8" x14ac:dyDescent="0.3">
      <c r="A324" s="139"/>
      <c r="B324" s="13" t="s">
        <v>449</v>
      </c>
      <c r="C324" s="23" t="s">
        <v>399</v>
      </c>
      <c r="D324" s="19"/>
      <c r="E324" s="16">
        <f>D324 * 7.4</f>
        <v>0</v>
      </c>
      <c r="F324" s="140" t="s">
        <v>400</v>
      </c>
      <c r="G324" s="140"/>
      <c r="H324" s="23" t="s">
        <v>58</v>
      </c>
    </row>
    <row r="325" spans="1:8" x14ac:dyDescent="0.3">
      <c r="A325" s="139"/>
      <c r="B325" s="13" t="s">
        <v>450</v>
      </c>
      <c r="C325" s="23" t="s">
        <v>399</v>
      </c>
      <c r="D325" s="19"/>
      <c r="E325" s="16">
        <f>D325 * 55.9</f>
        <v>0</v>
      </c>
      <c r="F325" s="140" t="s">
        <v>400</v>
      </c>
      <c r="G325" s="140"/>
      <c r="H325" s="23" t="s">
        <v>58</v>
      </c>
    </row>
    <row r="326" spans="1:8" x14ac:dyDescent="0.3">
      <c r="A326" s="139"/>
      <c r="B326" s="13" t="s">
        <v>451</v>
      </c>
      <c r="C326" s="23" t="s">
        <v>399</v>
      </c>
      <c r="D326" s="19"/>
      <c r="E326" s="16">
        <f>D326 * 38</f>
        <v>0</v>
      </c>
      <c r="F326" s="140" t="s">
        <v>400</v>
      </c>
      <c r="G326" s="140"/>
      <c r="H326" s="23" t="s">
        <v>58</v>
      </c>
    </row>
    <row r="327" spans="1:8" x14ac:dyDescent="0.3">
      <c r="A327" s="139"/>
      <c r="B327" s="13" t="s">
        <v>452</v>
      </c>
      <c r="C327" s="23" t="s">
        <v>399</v>
      </c>
      <c r="D327" s="19"/>
      <c r="E327" s="16">
        <f>D327 * 95.9</f>
        <v>0</v>
      </c>
      <c r="F327" s="140" t="s">
        <v>400</v>
      </c>
      <c r="G327" s="140"/>
      <c r="H327" s="23" t="s">
        <v>58</v>
      </c>
    </row>
    <row r="328" spans="1:8" x14ac:dyDescent="0.3">
      <c r="A328" s="139"/>
      <c r="B328" s="13" t="s">
        <v>453</v>
      </c>
      <c r="C328" s="23" t="s">
        <v>399</v>
      </c>
      <c r="D328" s="19"/>
      <c r="E328" s="16">
        <f>D328 * 13.4</f>
        <v>0</v>
      </c>
      <c r="F328" s="140" t="s">
        <v>400</v>
      </c>
      <c r="G328" s="140"/>
      <c r="H328" s="23" t="s">
        <v>58</v>
      </c>
    </row>
    <row r="329" spans="1:8" x14ac:dyDescent="0.3">
      <c r="A329" s="139"/>
      <c r="B329" s="13" t="s">
        <v>454</v>
      </c>
      <c r="C329" s="23" t="s">
        <v>399</v>
      </c>
      <c r="D329" s="19"/>
      <c r="E329" s="16">
        <f>D329 * 19.8</f>
        <v>0</v>
      </c>
      <c r="F329" s="140" t="s">
        <v>400</v>
      </c>
      <c r="G329" s="140"/>
      <c r="H329" s="23" t="s">
        <v>58</v>
      </c>
    </row>
    <row r="330" spans="1:8" ht="15" thickBot="1" x14ac:dyDescent="0.35">
      <c r="A330" s="139"/>
      <c r="B330" s="13" t="s">
        <v>455</v>
      </c>
      <c r="C330" s="23" t="s">
        <v>399</v>
      </c>
      <c r="D330" s="22"/>
      <c r="E330" s="16">
        <f>D330 * 49.2</f>
        <v>0</v>
      </c>
      <c r="F330" s="140" t="s">
        <v>400</v>
      </c>
      <c r="G330" s="140"/>
      <c r="H330" s="23" t="s">
        <v>58</v>
      </c>
    </row>
    <row r="331" spans="1:8" x14ac:dyDescent="0.3">
      <c r="D331" s="27" t="s">
        <v>39</v>
      </c>
      <c r="E331" s="34">
        <f>SUM(E275:E330)</f>
        <v>0</v>
      </c>
    </row>
  </sheetData>
  <mergeCells count="131">
    <mergeCell ref="F326:G326"/>
    <mergeCell ref="F327:G327"/>
    <mergeCell ref="F328:G328"/>
    <mergeCell ref="F329:G329"/>
    <mergeCell ref="F330:G330"/>
    <mergeCell ref="F320:G320"/>
    <mergeCell ref="F321:G321"/>
    <mergeCell ref="F322:G322"/>
    <mergeCell ref="F323:G323"/>
    <mergeCell ref="F324:G324"/>
    <mergeCell ref="F325:G325"/>
    <mergeCell ref="F314:G314"/>
    <mergeCell ref="F315:G315"/>
    <mergeCell ref="F316:G316"/>
    <mergeCell ref="F317:G317"/>
    <mergeCell ref="F318:G318"/>
    <mergeCell ref="F319:G319"/>
    <mergeCell ref="F308:G308"/>
    <mergeCell ref="F309:G309"/>
    <mergeCell ref="F310:G310"/>
    <mergeCell ref="F311:G311"/>
    <mergeCell ref="F312:G312"/>
    <mergeCell ref="F313:G313"/>
    <mergeCell ref="F304:G304"/>
    <mergeCell ref="F305:G305"/>
    <mergeCell ref="F306:G306"/>
    <mergeCell ref="F307:G307"/>
    <mergeCell ref="F296:G296"/>
    <mergeCell ref="F297:G297"/>
    <mergeCell ref="F298:G298"/>
    <mergeCell ref="F299:G299"/>
    <mergeCell ref="F300:G300"/>
    <mergeCell ref="F301:G301"/>
    <mergeCell ref="A275:A330"/>
    <mergeCell ref="F275:G275"/>
    <mergeCell ref="F276:G276"/>
    <mergeCell ref="F277:G277"/>
    <mergeCell ref="F278:G278"/>
    <mergeCell ref="F279:G279"/>
    <mergeCell ref="F280:G280"/>
    <mergeCell ref="F281:G281"/>
    <mergeCell ref="F282:G282"/>
    <mergeCell ref="F283:G283"/>
    <mergeCell ref="F290:G290"/>
    <mergeCell ref="F291:G291"/>
    <mergeCell ref="F292:G292"/>
    <mergeCell ref="F293:G293"/>
    <mergeCell ref="F294:G294"/>
    <mergeCell ref="F295:G295"/>
    <mergeCell ref="F284:G284"/>
    <mergeCell ref="F285:G285"/>
    <mergeCell ref="F286:G286"/>
    <mergeCell ref="F287:G287"/>
    <mergeCell ref="F288:G288"/>
    <mergeCell ref="F289:G289"/>
    <mergeCell ref="F302:G302"/>
    <mergeCell ref="F303:G303"/>
    <mergeCell ref="A264:J264"/>
    <mergeCell ref="A265:B265"/>
    <mergeCell ref="A266:A270"/>
    <mergeCell ref="A273:H273"/>
    <mergeCell ref="A274:B274"/>
    <mergeCell ref="F274:G274"/>
    <mergeCell ref="A238:A247"/>
    <mergeCell ref="B238:J238"/>
    <mergeCell ref="B242:J242"/>
    <mergeCell ref="A250:J250"/>
    <mergeCell ref="A251:B251"/>
    <mergeCell ref="A252:A261"/>
    <mergeCell ref="B252:J252"/>
    <mergeCell ref="B256:J256"/>
    <mergeCell ref="A222:A225"/>
    <mergeCell ref="A228:I228"/>
    <mergeCell ref="A229:B229"/>
    <mergeCell ref="A230:A233"/>
    <mergeCell ref="A236:J236"/>
    <mergeCell ref="A237:B237"/>
    <mergeCell ref="A208:B208"/>
    <mergeCell ref="A209:A211"/>
    <mergeCell ref="A212:A214"/>
    <mergeCell ref="A215:A217"/>
    <mergeCell ref="A220:I220"/>
    <mergeCell ref="A221:B221"/>
    <mergeCell ref="A181:A189"/>
    <mergeCell ref="A190:A198"/>
    <mergeCell ref="A199:A204"/>
    <mergeCell ref="A207:J207"/>
    <mergeCell ref="B142:H142"/>
    <mergeCell ref="B148:H148"/>
    <mergeCell ref="B154:H154"/>
    <mergeCell ref="B160:H160"/>
    <mergeCell ref="B166:H166"/>
    <mergeCell ref="B172:H172"/>
    <mergeCell ref="A116:H116"/>
    <mergeCell ref="A117:B117"/>
    <mergeCell ref="A118:A176"/>
    <mergeCell ref="B118:H118"/>
    <mergeCell ref="B124:H124"/>
    <mergeCell ref="B130:H130"/>
    <mergeCell ref="B136:H136"/>
    <mergeCell ref="A179:H179"/>
    <mergeCell ref="A180:B180"/>
    <mergeCell ref="A55:A113"/>
    <mergeCell ref="B55:H55"/>
    <mergeCell ref="B61:H61"/>
    <mergeCell ref="B67:H67"/>
    <mergeCell ref="B73:H73"/>
    <mergeCell ref="B79:H79"/>
    <mergeCell ref="B85:H85"/>
    <mergeCell ref="B91:H91"/>
    <mergeCell ref="B97:H97"/>
    <mergeCell ref="B103:H103"/>
    <mergeCell ref="B109:H109"/>
    <mergeCell ref="A23:B23"/>
    <mergeCell ref="A24:A50"/>
    <mergeCell ref="B24:H24"/>
    <mergeCell ref="B30:H30"/>
    <mergeCell ref="B36:H36"/>
    <mergeCell ref="B42:H42"/>
    <mergeCell ref="B48:H48"/>
    <mergeCell ref="A53:H53"/>
    <mergeCell ref="A54:B54"/>
    <mergeCell ref="A2:U2"/>
    <mergeCell ref="A5:J5"/>
    <mergeCell ref="A6:J6"/>
    <mergeCell ref="A8:B9"/>
    <mergeCell ref="A11:J11"/>
    <mergeCell ref="A12:B12"/>
    <mergeCell ref="A13:A16"/>
    <mergeCell ref="A17:A19"/>
    <mergeCell ref="A22:H22"/>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1CEF-0556-4C55-A129-351A3EDDB868}">
  <sheetPr>
    <tabColor theme="4" tint="0.39997558519241921"/>
  </sheetPr>
  <dimension ref="A1:U325"/>
  <sheetViews>
    <sheetView showGridLines="0" topLeftCell="A291" workbookViewId="0">
      <selection activeCell="B319" sqref="B319"/>
    </sheetView>
  </sheetViews>
  <sheetFormatPr defaultColWidth="11.44140625" defaultRowHeight="14.4" x14ac:dyDescent="0.3"/>
  <cols>
    <col min="1" max="1" width="50.6640625" style="2" customWidth="1"/>
    <col min="2" max="2" width="25.6640625" style="2" customWidth="1"/>
    <col min="3" max="3" width="9.44140625" style="2" customWidth="1"/>
    <col min="4" max="4" width="16.6640625" style="2" customWidth="1"/>
    <col min="5" max="8" width="16" style="2" customWidth="1"/>
    <col min="9" max="9" width="73.6640625" style="2" customWidth="1"/>
    <col min="10" max="10" width="12.5546875" style="2" customWidth="1"/>
    <col min="11" max="100" width="10.6640625" style="2" customWidth="1"/>
    <col min="101" max="16384" width="11.44140625" style="2"/>
  </cols>
  <sheetData>
    <row r="1" spans="1:21" ht="31.2" x14ac:dyDescent="0.3">
      <c r="A1" s="1" t="s">
        <v>7</v>
      </c>
    </row>
    <row r="2" spans="1:21" ht="23.4" x14ac:dyDescent="0.3">
      <c r="A2" s="130" t="s">
        <v>305</v>
      </c>
      <c r="B2" s="102"/>
      <c r="C2" s="102"/>
      <c r="D2" s="102"/>
      <c r="E2" s="102"/>
      <c r="F2" s="102"/>
      <c r="G2" s="102"/>
      <c r="H2" s="102"/>
      <c r="I2" s="102"/>
      <c r="J2" s="102"/>
      <c r="K2" s="102"/>
      <c r="L2" s="102"/>
      <c r="M2" s="102"/>
      <c r="N2" s="102"/>
      <c r="O2" s="102"/>
      <c r="P2" s="102"/>
      <c r="Q2" s="102"/>
      <c r="R2" s="102"/>
      <c r="S2" s="102"/>
      <c r="T2" s="102"/>
      <c r="U2" s="102"/>
    </row>
    <row r="3" spans="1:21" s="64" customFormat="1" x14ac:dyDescent="0.3">
      <c r="A3" s="2"/>
      <c r="B3" s="2"/>
      <c r="C3" s="2"/>
      <c r="D3" s="2"/>
      <c r="E3" s="2"/>
      <c r="F3" s="2"/>
      <c r="G3" s="2"/>
      <c r="H3" s="2"/>
      <c r="I3" s="2"/>
      <c r="J3" s="2"/>
    </row>
    <row r="4" spans="1:21" s="64" customFormat="1" ht="31.2" x14ac:dyDescent="0.3">
      <c r="A4" s="65" t="s">
        <v>456</v>
      </c>
    </row>
    <row r="5" spans="1:21" s="64" customFormat="1" x14ac:dyDescent="0.3">
      <c r="A5" s="3" t="s">
        <v>10</v>
      </c>
      <c r="B5" s="3"/>
      <c r="C5" s="3"/>
      <c r="D5" s="3"/>
      <c r="E5" s="3"/>
      <c r="F5" s="3"/>
      <c r="G5" s="3"/>
      <c r="H5" s="3"/>
    </row>
    <row r="6" spans="1:21" s="64" customFormat="1" ht="169.8" customHeight="1" x14ac:dyDescent="0.3">
      <c r="A6" s="132" t="s">
        <v>633</v>
      </c>
      <c r="B6" s="132"/>
      <c r="C6" s="132"/>
      <c r="D6" s="132"/>
      <c r="E6" s="132"/>
      <c r="F6" s="132"/>
      <c r="G6" s="132"/>
      <c r="H6" s="132"/>
      <c r="J6" s="2"/>
    </row>
    <row r="8" spans="1:21" x14ac:dyDescent="0.3">
      <c r="A8" s="145" t="s">
        <v>457</v>
      </c>
      <c r="B8" s="145"/>
      <c r="C8" s="58"/>
      <c r="D8" s="58"/>
      <c r="E8" s="4" t="s">
        <v>12</v>
      </c>
      <c r="F8" s="4" t="s">
        <v>13</v>
      </c>
      <c r="G8" s="4" t="s">
        <v>14</v>
      </c>
      <c r="H8" s="4" t="s">
        <v>15</v>
      </c>
    </row>
    <row r="9" spans="1:21" x14ac:dyDescent="0.3">
      <c r="A9" s="100"/>
      <c r="B9" s="100"/>
      <c r="C9" s="58"/>
      <c r="D9" s="58"/>
      <c r="E9" s="59">
        <f>SUM(F9:H9)</f>
        <v>0</v>
      </c>
      <c r="F9" s="60">
        <f>SUM(F16,F44,F102,F160,F168,F198,F228,F258,F264,F272,F280,F288,F321,F325)</f>
        <v>0</v>
      </c>
      <c r="G9" s="60">
        <f>SUM(G16,G44,G102,G160,G168,G198,G228,G258,G264,G272,G280,G288,G321,G325)</f>
        <v>0</v>
      </c>
      <c r="H9" s="60">
        <f>SUM(H16,H44,H102,H160,H168,H198,H228,H258,H264,H272,H280,H288,H321,H325)</f>
        <v>0</v>
      </c>
    </row>
    <row r="11" spans="1:21" ht="15" thickBot="1" x14ac:dyDescent="0.35">
      <c r="A11" s="111" t="s">
        <v>458</v>
      </c>
      <c r="B11" s="111"/>
      <c r="C11" s="111"/>
      <c r="D11" s="111"/>
      <c r="E11" s="111"/>
      <c r="F11" s="111"/>
      <c r="G11" s="111"/>
      <c r="H11" s="111"/>
      <c r="I11" s="111"/>
    </row>
    <row r="12" spans="1:21" ht="15" thickBot="1" x14ac:dyDescent="0.35">
      <c r="A12" s="128" t="s">
        <v>18</v>
      </c>
      <c r="B12" s="112"/>
      <c r="C12" s="39" t="s">
        <v>19</v>
      </c>
      <c r="D12" s="11" t="s">
        <v>20</v>
      </c>
      <c r="E12" s="32" t="s">
        <v>12</v>
      </c>
      <c r="F12" s="32" t="s">
        <v>13</v>
      </c>
      <c r="G12" s="32" t="s">
        <v>14</v>
      </c>
      <c r="H12" s="32" t="s">
        <v>15</v>
      </c>
      <c r="I12" s="30" t="s">
        <v>309</v>
      </c>
    </row>
    <row r="13" spans="1:21" x14ac:dyDescent="0.3">
      <c r="A13" s="41" t="s">
        <v>459</v>
      </c>
      <c r="B13" s="13" t="s">
        <v>459</v>
      </c>
      <c r="C13" s="23" t="s">
        <v>460</v>
      </c>
      <c r="D13" s="42"/>
      <c r="E13" s="16">
        <f>F13 + G13 + H13</f>
        <v>0</v>
      </c>
      <c r="F13" s="17">
        <f>D13 * 0.103215</f>
        <v>0</v>
      </c>
      <c r="G13" s="17">
        <f>D13 * 0.0001365</f>
        <v>0</v>
      </c>
      <c r="H13" s="17">
        <f>D13 * 0.0016485</f>
        <v>0</v>
      </c>
      <c r="I13" s="13" t="s">
        <v>461</v>
      </c>
    </row>
    <row r="14" spans="1:21" x14ac:dyDescent="0.3">
      <c r="A14" s="41" t="s">
        <v>462</v>
      </c>
      <c r="B14" s="13" t="s">
        <v>462</v>
      </c>
      <c r="C14" s="23" t="s">
        <v>460</v>
      </c>
      <c r="D14" s="42"/>
      <c r="E14" s="16">
        <f>F14 + G14 + H14</f>
        <v>0</v>
      </c>
      <c r="F14" s="17">
        <f>D14 * 0.38337</f>
        <v>0</v>
      </c>
      <c r="G14" s="17">
        <f>D14 * 0.000507</f>
        <v>0</v>
      </c>
      <c r="H14" s="17">
        <f>D14 * 0.006123</f>
        <v>0</v>
      </c>
      <c r="I14" s="66" t="s">
        <v>463</v>
      </c>
    </row>
    <row r="15" spans="1:21" ht="15" thickBot="1" x14ac:dyDescent="0.35">
      <c r="A15" s="41" t="s">
        <v>464</v>
      </c>
      <c r="B15" s="13" t="s">
        <v>464</v>
      </c>
      <c r="C15" s="23" t="s">
        <v>460</v>
      </c>
      <c r="D15" s="43"/>
      <c r="E15" s="44">
        <f>F15 + G15 + H15</f>
        <v>0</v>
      </c>
      <c r="F15" s="45">
        <f>D15 * 0.132705</f>
        <v>0</v>
      </c>
      <c r="G15" s="45">
        <f>D15 * 0.0001755</f>
        <v>0</v>
      </c>
      <c r="H15" s="45">
        <f>D15 * 0.0021195</f>
        <v>0</v>
      </c>
      <c r="I15" s="13" t="s">
        <v>465</v>
      </c>
    </row>
    <row r="16" spans="1:21" x14ac:dyDescent="0.3">
      <c r="B16" s="26"/>
      <c r="C16" s="26"/>
      <c r="D16" s="27" t="s">
        <v>39</v>
      </c>
      <c r="E16" s="46">
        <f>SUM(E13:E15)</f>
        <v>0</v>
      </c>
      <c r="F16" s="47">
        <f>SUM(F13:F15)</f>
        <v>0</v>
      </c>
      <c r="G16" s="47">
        <f>SUM(G13:G15)</f>
        <v>0</v>
      </c>
      <c r="H16" s="47">
        <f>SUM(H13:H15)</f>
        <v>0</v>
      </c>
      <c r="I16" s="26"/>
    </row>
    <row r="18" spans="1:8" ht="15" thickBot="1" x14ac:dyDescent="0.35">
      <c r="A18" s="111" t="s">
        <v>466</v>
      </c>
      <c r="B18" s="111"/>
      <c r="C18" s="111"/>
      <c r="D18" s="111"/>
      <c r="E18" s="111"/>
      <c r="F18" s="111"/>
      <c r="G18" s="111"/>
      <c r="H18" s="111"/>
    </row>
    <row r="19" spans="1:8" ht="15" thickBot="1" x14ac:dyDescent="0.35">
      <c r="A19" s="155" t="s">
        <v>467</v>
      </c>
      <c r="B19" s="112"/>
      <c r="C19" s="39" t="s">
        <v>19</v>
      </c>
      <c r="D19" s="11" t="s">
        <v>20</v>
      </c>
      <c r="E19" s="32" t="s">
        <v>12</v>
      </c>
      <c r="F19" s="32" t="s">
        <v>13</v>
      </c>
      <c r="G19" s="32" t="s">
        <v>14</v>
      </c>
      <c r="H19" s="32" t="s">
        <v>15</v>
      </c>
    </row>
    <row r="20" spans="1:8" ht="15" thickBot="1" x14ac:dyDescent="0.35">
      <c r="A20" s="129" t="s">
        <v>18</v>
      </c>
      <c r="B20" s="156" t="s">
        <v>352</v>
      </c>
      <c r="C20" s="127"/>
      <c r="D20" s="127"/>
      <c r="E20" s="127"/>
      <c r="F20" s="127"/>
      <c r="G20" s="127"/>
      <c r="H20" s="127"/>
    </row>
    <row r="21" spans="1:8" x14ac:dyDescent="0.3">
      <c r="A21" s="129"/>
      <c r="B21" s="23" t="s">
        <v>324</v>
      </c>
      <c r="C21" s="23" t="s">
        <v>325</v>
      </c>
      <c r="D21" s="15"/>
      <c r="E21" s="16">
        <f>F21 + G21 + H21</f>
        <v>0</v>
      </c>
      <c r="F21" s="17">
        <f>D21 * 0.1983465932</f>
        <v>0</v>
      </c>
      <c r="G21" s="17">
        <f>D21 * 0.0026074604</f>
        <v>0</v>
      </c>
      <c r="H21" s="17">
        <f>D21 * 0.005982485</f>
        <v>0</v>
      </c>
    </row>
    <row r="22" spans="1:8" x14ac:dyDescent="0.3">
      <c r="A22" s="129"/>
      <c r="B22" s="23" t="s">
        <v>468</v>
      </c>
      <c r="C22" s="23" t="s">
        <v>325</v>
      </c>
      <c r="D22" s="42"/>
      <c r="E22" s="16">
        <f>F22 + G22 + H22</f>
        <v>0</v>
      </c>
      <c r="F22" s="17">
        <f>D22 * 0.2129744368</f>
        <v>0</v>
      </c>
      <c r="G22" s="17">
        <f>D22 * 0.0027997578</f>
        <v>0</v>
      </c>
      <c r="H22" s="17">
        <f>D22 * 0.0064236867</f>
        <v>0</v>
      </c>
    </row>
    <row r="23" spans="1:8" x14ac:dyDescent="0.3">
      <c r="A23" s="129"/>
      <c r="B23" s="23" t="s">
        <v>469</v>
      </c>
      <c r="C23" s="23" t="s">
        <v>325</v>
      </c>
      <c r="D23" s="42"/>
      <c r="E23" s="16">
        <f>F23 + G23 + H23</f>
        <v>0</v>
      </c>
      <c r="F23" s="17">
        <f>D23 * 0.2873538209</f>
        <v>0</v>
      </c>
      <c r="G23" s="17">
        <f>D23 * 0.0037775477</f>
        <v>0</v>
      </c>
      <c r="H23" s="17">
        <f>D23 * 0.0086671008</f>
        <v>0</v>
      </c>
    </row>
    <row r="24" spans="1:8" x14ac:dyDescent="0.3">
      <c r="A24" s="129"/>
      <c r="B24" s="23" t="s">
        <v>470</v>
      </c>
      <c r="C24" s="23" t="s">
        <v>325</v>
      </c>
      <c r="D24" s="42"/>
      <c r="E24" s="16">
        <f>F24 + G24 + H24</f>
        <v>0</v>
      </c>
      <c r="F24" s="17">
        <f>D24 * 0.3039654599</f>
        <v>0</v>
      </c>
      <c r="G24" s="17">
        <f>D24 * 0.003995924</f>
        <v>0</v>
      </c>
      <c r="H24" s="17">
        <f>D24 * 0.0091681373</f>
        <v>0</v>
      </c>
    </row>
    <row r="25" spans="1:8" ht="15" thickBot="1" x14ac:dyDescent="0.35">
      <c r="A25" s="129"/>
      <c r="B25" s="23" t="s">
        <v>329</v>
      </c>
      <c r="C25" s="23" t="s">
        <v>325</v>
      </c>
      <c r="D25" s="43"/>
      <c r="E25" s="16">
        <f>F25 + G25 + H25</f>
        <v>0</v>
      </c>
      <c r="F25" s="17">
        <f>D25 * 0.3471053615</f>
        <v>0</v>
      </c>
      <c r="G25" s="17">
        <f>D25 * 0.0045630403</f>
        <v>0</v>
      </c>
      <c r="H25" s="17">
        <f>D25 * 0.0104693133</f>
        <v>0</v>
      </c>
    </row>
    <row r="26" spans="1:8" ht="15" thickBot="1" x14ac:dyDescent="0.35">
      <c r="A26" s="129"/>
      <c r="B26" s="157" t="s">
        <v>30</v>
      </c>
      <c r="C26" s="127"/>
      <c r="D26" s="127"/>
      <c r="E26" s="127"/>
      <c r="F26" s="127"/>
      <c r="G26" s="127"/>
      <c r="H26" s="127"/>
    </row>
    <row r="27" spans="1:8" x14ac:dyDescent="0.3">
      <c r="A27" s="129"/>
      <c r="B27" s="23" t="s">
        <v>324</v>
      </c>
      <c r="C27" s="13" t="s">
        <v>325</v>
      </c>
      <c r="D27" s="15"/>
      <c r="E27" s="16">
        <f>F27 + G27 + H27</f>
        <v>0</v>
      </c>
      <c r="F27" s="17">
        <f>D27 * 0.2138362333</f>
        <v>0</v>
      </c>
      <c r="G27" s="17">
        <f>D27 * 0.0003194376</f>
        <v>0</v>
      </c>
      <c r="H27" s="17">
        <f>D27 * 0.0030232487</f>
        <v>0</v>
      </c>
    </row>
    <row r="28" spans="1:8" x14ac:dyDescent="0.3">
      <c r="A28" s="129"/>
      <c r="B28" s="23" t="s">
        <v>468</v>
      </c>
      <c r="C28" s="13" t="s">
        <v>325</v>
      </c>
      <c r="D28" s="42"/>
      <c r="E28" s="16">
        <f>F28 + G28 + H28</f>
        <v>0</v>
      </c>
      <c r="F28" s="17">
        <f>D28 * 0.2057768773</f>
        <v>0</v>
      </c>
      <c r="G28" s="17">
        <f>D28 * 0.0003073982</f>
        <v>0</v>
      </c>
      <c r="H28" s="17">
        <f>D28 * 0.0029093043</f>
        <v>0</v>
      </c>
    </row>
    <row r="29" spans="1:8" x14ac:dyDescent="0.3">
      <c r="A29" s="129"/>
      <c r="B29" s="23" t="s">
        <v>469</v>
      </c>
      <c r="C29" s="13" t="s">
        <v>325</v>
      </c>
      <c r="D29" s="42"/>
      <c r="E29" s="16">
        <f>F29 + G29 + H29</f>
        <v>0</v>
      </c>
      <c r="F29" s="17">
        <f>D29 * 0.2739325656</f>
        <v>0</v>
      </c>
      <c r="G29" s="17">
        <f>D29 * 0.000409212</f>
        <v>0</v>
      </c>
      <c r="H29" s="17">
        <f>D29 * 0.0038728996</f>
        <v>0</v>
      </c>
    </row>
    <row r="30" spans="1:8" x14ac:dyDescent="0.3">
      <c r="A30" s="129"/>
      <c r="B30" s="23" t="s">
        <v>470</v>
      </c>
      <c r="C30" s="13" t="s">
        <v>325</v>
      </c>
      <c r="D30" s="42"/>
      <c r="E30" s="16">
        <f>F30 + G30 + H30</f>
        <v>0</v>
      </c>
      <c r="F30" s="17">
        <f>D30 * 0.2937267716</f>
        <v>0</v>
      </c>
      <c r="G30" s="17">
        <f>D30 * 0.0004387815</f>
        <v>0</v>
      </c>
      <c r="H30" s="17">
        <f>D30 * 0.0041527531</f>
        <v>0</v>
      </c>
    </row>
    <row r="31" spans="1:8" ht="15" thickBot="1" x14ac:dyDescent="0.35">
      <c r="A31" s="129"/>
      <c r="B31" s="23" t="s">
        <v>329</v>
      </c>
      <c r="C31" s="13" t="s">
        <v>325</v>
      </c>
      <c r="D31" s="43"/>
      <c r="E31" s="16">
        <f>F31 + G31 + H31</f>
        <v>0</v>
      </c>
      <c r="F31" s="17">
        <f>D31 * 0.2974236503</f>
        <v>0</v>
      </c>
      <c r="G31" s="17">
        <f>D31 * 0.000444304</f>
        <v>0</v>
      </c>
      <c r="H31" s="17">
        <f>D31 * 0.0042050201</f>
        <v>0</v>
      </c>
    </row>
    <row r="32" spans="1:8" ht="15" thickBot="1" x14ac:dyDescent="0.35">
      <c r="A32" s="129"/>
      <c r="B32" s="158" t="s">
        <v>353</v>
      </c>
      <c r="C32" s="127"/>
      <c r="D32" s="127"/>
      <c r="E32" s="127"/>
      <c r="F32" s="127"/>
      <c r="G32" s="127"/>
      <c r="H32" s="127"/>
    </row>
    <row r="33" spans="1:8" x14ac:dyDescent="0.3">
      <c r="A33" s="129"/>
      <c r="B33" s="23" t="s">
        <v>324</v>
      </c>
      <c r="C33" s="13" t="s">
        <v>325</v>
      </c>
      <c r="D33" s="15"/>
      <c r="E33" s="16">
        <f>F33 + G33 + H33</f>
        <v>0</v>
      </c>
      <c r="F33" s="17">
        <f>D33 * 0.1565880533</f>
        <v>0</v>
      </c>
      <c r="G33" s="17">
        <f>D33 * 0.0020585035</f>
        <v>0</v>
      </c>
      <c r="H33" s="17">
        <f>D33 * 0.0047229734</f>
        <v>0</v>
      </c>
    </row>
    <row r="34" spans="1:8" x14ac:dyDescent="0.3">
      <c r="A34" s="129"/>
      <c r="B34" s="23" t="s">
        <v>468</v>
      </c>
      <c r="C34" s="13" t="s">
        <v>325</v>
      </c>
      <c r="D34" s="42"/>
      <c r="E34" s="16">
        <f>F34 + G34 + H34</f>
        <v>0</v>
      </c>
      <c r="F34" s="17">
        <f>D34 * 0.1681378371</f>
        <v>0</v>
      </c>
      <c r="G34" s="17">
        <f>D34 * 0.0022103367</f>
        <v>0</v>
      </c>
      <c r="H34" s="17">
        <f>D34 * 0.0050713353</f>
        <v>0</v>
      </c>
    </row>
    <row r="35" spans="1:8" x14ac:dyDescent="0.3">
      <c r="A35" s="129"/>
      <c r="B35" s="23" t="s">
        <v>469</v>
      </c>
      <c r="C35" s="13" t="s">
        <v>325</v>
      </c>
      <c r="D35" s="42"/>
      <c r="E35" s="16">
        <f>F35 + G35 + H35</f>
        <v>0</v>
      </c>
      <c r="F35" s="17">
        <f>D35 * 0.2268586512</f>
        <v>0</v>
      </c>
      <c r="G35" s="17">
        <f>D35 * 0.0029822794</f>
        <v>0</v>
      </c>
      <c r="H35" s="17">
        <f>D35 * 0.0068424592</f>
        <v>0</v>
      </c>
    </row>
    <row r="36" spans="1:8" x14ac:dyDescent="0.3">
      <c r="A36" s="129"/>
      <c r="B36" s="23" t="s">
        <v>470</v>
      </c>
      <c r="C36" s="13" t="s">
        <v>325</v>
      </c>
      <c r="D36" s="42"/>
      <c r="E36" s="16">
        <f>F36 + G36 + H36</f>
        <v>0</v>
      </c>
      <c r="F36" s="17">
        <f>D36 * 0.2399733508</f>
        <v>0</v>
      </c>
      <c r="G36" s="17">
        <f>D36 * 0.003154685</f>
        <v>0</v>
      </c>
      <c r="H36" s="17">
        <f>D36 * 0.0072380218</f>
        <v>0</v>
      </c>
    </row>
    <row r="37" spans="1:8" ht="15" thickBot="1" x14ac:dyDescent="0.35">
      <c r="A37" s="129"/>
      <c r="B37" s="23" t="s">
        <v>329</v>
      </c>
      <c r="C37" s="13" t="s">
        <v>325</v>
      </c>
      <c r="D37" s="43"/>
      <c r="E37" s="16">
        <f>F37 + G37 + H37</f>
        <v>0</v>
      </c>
      <c r="F37" s="17">
        <f>D37 * 0.2740296816</f>
        <v>0</v>
      </c>
      <c r="G37" s="17">
        <f>D37 * 0.0036023888</f>
        <v>0</v>
      </c>
      <c r="H37" s="17">
        <f>D37 * 0.0082652212</f>
        <v>0</v>
      </c>
    </row>
    <row r="38" spans="1:8" ht="15" thickBot="1" x14ac:dyDescent="0.35">
      <c r="A38" s="129"/>
      <c r="B38" s="158" t="s">
        <v>354</v>
      </c>
      <c r="C38" s="127"/>
      <c r="D38" s="127"/>
      <c r="E38" s="127"/>
      <c r="F38" s="127"/>
      <c r="G38" s="127"/>
      <c r="H38" s="127"/>
    </row>
    <row r="39" spans="1:8" x14ac:dyDescent="0.3">
      <c r="A39" s="129"/>
      <c r="B39" s="23" t="s">
        <v>324</v>
      </c>
      <c r="C39" s="13" t="s">
        <v>325</v>
      </c>
      <c r="D39" s="15"/>
      <c r="E39" s="16">
        <f>F39 + G39 + H39</f>
        <v>0</v>
      </c>
      <c r="F39" s="17">
        <f>D39 * 0.191687038</f>
        <v>0</v>
      </c>
      <c r="G39" s="17">
        <f>D39 * 0.0002863502</f>
        <v>0</v>
      </c>
      <c r="H39" s="17">
        <f>D39 * 0.0027101001</f>
        <v>0</v>
      </c>
    </row>
    <row r="40" spans="1:8" x14ac:dyDescent="0.3">
      <c r="A40" s="129"/>
      <c r="B40" s="23" t="s">
        <v>468</v>
      </c>
      <c r="C40" s="13" t="s">
        <v>325</v>
      </c>
      <c r="D40" s="42"/>
      <c r="E40" s="16">
        <f>F40 + G40 + H40</f>
        <v>0</v>
      </c>
      <c r="F40" s="17">
        <f>D40 * 0.184464358</f>
        <v>0</v>
      </c>
      <c r="G40" s="17">
        <f>D40 * 0.0002755607</f>
        <v>0</v>
      </c>
      <c r="H40" s="17">
        <f>D40 * 0.0026079847</f>
        <v>0</v>
      </c>
    </row>
    <row r="41" spans="1:8" x14ac:dyDescent="0.3">
      <c r="A41" s="129"/>
      <c r="B41" s="23" t="s">
        <v>469</v>
      </c>
      <c r="C41" s="13" t="s">
        <v>325</v>
      </c>
      <c r="D41" s="42"/>
      <c r="E41" s="16">
        <f>F41 + G41 + H41</f>
        <v>0</v>
      </c>
      <c r="F41" s="17">
        <f>D41 * 0.2455630978</f>
        <v>0</v>
      </c>
      <c r="G41" s="17">
        <f>D41 * 0.0003668325</f>
        <v>0</v>
      </c>
      <c r="H41" s="17">
        <f>D41 * 0.0034718079</f>
        <v>0</v>
      </c>
    </row>
    <row r="42" spans="1:8" x14ac:dyDescent="0.3">
      <c r="A42" s="129"/>
      <c r="B42" s="23" t="s">
        <v>470</v>
      </c>
      <c r="C42" s="13" t="s">
        <v>325</v>
      </c>
      <c r="D42" s="42"/>
      <c r="E42" s="16">
        <f>F42 + G42 + H42</f>
        <v>0</v>
      </c>
      <c r="F42" s="17">
        <f>D42 * 0.2633043734</f>
        <v>0</v>
      </c>
      <c r="G42" s="17">
        <f>D42 * 0.0003933352</f>
        <v>0</v>
      </c>
      <c r="H42" s="17">
        <f>D42 * 0.0037226367</f>
        <v>0</v>
      </c>
    </row>
    <row r="43" spans="1:8" ht="15" thickBot="1" x14ac:dyDescent="0.35">
      <c r="A43" s="129"/>
      <c r="B43" s="23" t="s">
        <v>329</v>
      </c>
      <c r="C43" s="13" t="s">
        <v>325</v>
      </c>
      <c r="D43" s="43"/>
      <c r="E43" s="61">
        <f>F43 + G43 + H43</f>
        <v>0</v>
      </c>
      <c r="F43" s="47">
        <f>D43 * 0.2666190007</f>
        <v>0</v>
      </c>
      <c r="G43" s="47">
        <f>D43 * 0.0003982867</f>
        <v>0</v>
      </c>
      <c r="H43" s="47">
        <f>D43 * 0.0037694994</f>
        <v>0</v>
      </c>
    </row>
    <row r="44" spans="1:8" x14ac:dyDescent="0.3">
      <c r="B44" s="26"/>
      <c r="C44" s="26"/>
      <c r="D44" s="27" t="s">
        <v>39</v>
      </c>
      <c r="E44" s="28">
        <f>SUM(E21:E25,E27:E31,E33:E37,E39:E43)</f>
        <v>0</v>
      </c>
      <c r="F44" s="29">
        <f>SUM(F21:F25,F27:F31,F33:F37,F39:F43)</f>
        <v>0</v>
      </c>
      <c r="G44" s="29">
        <f>SUM(G21:G25,G27:G31,G33:G37,G39:G43)</f>
        <v>0</v>
      </c>
      <c r="H44" s="29">
        <f>SUM(H21:H25,H27:H31,H33:H37,H39:H43)</f>
        <v>0</v>
      </c>
    </row>
    <row r="46" spans="1:8" ht="15" thickBot="1" x14ac:dyDescent="0.35">
      <c r="A46" s="111" t="s">
        <v>466</v>
      </c>
      <c r="B46" s="111"/>
      <c r="C46" s="111"/>
      <c r="D46" s="111"/>
      <c r="E46" s="111"/>
      <c r="F46" s="111"/>
      <c r="G46" s="111"/>
      <c r="H46" s="111"/>
    </row>
    <row r="47" spans="1:8" ht="15" thickBot="1" x14ac:dyDescent="0.35">
      <c r="A47" s="155" t="s">
        <v>471</v>
      </c>
      <c r="B47" s="112"/>
      <c r="C47" s="39" t="s">
        <v>19</v>
      </c>
      <c r="D47" s="11" t="s">
        <v>20</v>
      </c>
      <c r="E47" s="32" t="s">
        <v>12</v>
      </c>
      <c r="F47" s="32" t="s">
        <v>13</v>
      </c>
      <c r="G47" s="32" t="s">
        <v>14</v>
      </c>
      <c r="H47" s="32" t="s">
        <v>15</v>
      </c>
    </row>
    <row r="48" spans="1:8" ht="15" thickBot="1" x14ac:dyDescent="0.35">
      <c r="A48" s="129" t="s">
        <v>18</v>
      </c>
      <c r="B48" s="158" t="s">
        <v>352</v>
      </c>
      <c r="C48" s="127"/>
      <c r="D48" s="127"/>
      <c r="E48" s="127"/>
      <c r="F48" s="127"/>
      <c r="G48" s="127"/>
      <c r="H48" s="127"/>
    </row>
    <row r="49" spans="1:8" x14ac:dyDescent="0.3">
      <c r="A49" s="129"/>
      <c r="B49" s="23" t="s">
        <v>324</v>
      </c>
      <c r="C49" s="13" t="s">
        <v>325</v>
      </c>
      <c r="D49" s="15"/>
      <c r="E49" s="16">
        <f>F49 + G49 + H49</f>
        <v>0</v>
      </c>
      <c r="F49" s="17">
        <f>D49 * 0.1870109557</f>
        <v>0</v>
      </c>
      <c r="G49" s="17">
        <f>D49 * 0.0024584424</f>
        <v>0</v>
      </c>
      <c r="H49" s="17">
        <f>D49 * 0.0056405821</f>
        <v>0</v>
      </c>
    </row>
    <row r="50" spans="1:8" x14ac:dyDescent="0.3">
      <c r="A50" s="129"/>
      <c r="B50" s="23" t="s">
        <v>468</v>
      </c>
      <c r="C50" s="13" t="s">
        <v>325</v>
      </c>
      <c r="D50" s="42"/>
      <c r="E50" s="16">
        <f>F50 + G50 + H50</f>
        <v>0</v>
      </c>
      <c r="F50" s="17">
        <f>D50 * 0.2008033932</f>
        <v>0</v>
      </c>
      <c r="G50" s="17">
        <f>D50 * 0.0026397575</f>
        <v>0</v>
      </c>
      <c r="H50" s="17">
        <f>D50 * 0.0060565864</f>
        <v>0</v>
      </c>
    </row>
    <row r="51" spans="1:8" x14ac:dyDescent="0.3">
      <c r="A51" s="129"/>
      <c r="B51" s="23" t="s">
        <v>469</v>
      </c>
      <c r="C51" s="13" t="s">
        <v>325</v>
      </c>
      <c r="D51" s="42"/>
      <c r="E51" s="16">
        <f>F51 + G51 + H51</f>
        <v>0</v>
      </c>
      <c r="F51" s="17">
        <f>D51 * 0.2709327958</f>
        <v>0</v>
      </c>
      <c r="G51" s="17">
        <f>D51 * 0.0035616772</f>
        <v>0</v>
      </c>
      <c r="H51" s="17">
        <f>D51 * 0.0081718136</f>
        <v>0</v>
      </c>
    </row>
    <row r="52" spans="1:8" x14ac:dyDescent="0.3">
      <c r="A52" s="129"/>
      <c r="B52" s="23" t="s">
        <v>470</v>
      </c>
      <c r="C52" s="13" t="s">
        <v>325</v>
      </c>
      <c r="D52" s="42"/>
      <c r="E52" s="16">
        <f>F52 + G52 + H52</f>
        <v>0</v>
      </c>
      <c r="F52" s="17">
        <f>D52 * 0.2865960723</f>
        <v>0</v>
      </c>
      <c r="G52" s="17">
        <f>D52 * 0.0037675864</f>
        <v>0</v>
      </c>
      <c r="H52" s="17">
        <f>D52 * 0.0086442458</f>
        <v>0</v>
      </c>
    </row>
    <row r="53" spans="1:8" ht="15" thickBot="1" x14ac:dyDescent="0.35">
      <c r="A53" s="129"/>
      <c r="B53" s="23" t="s">
        <v>329</v>
      </c>
      <c r="C53" s="13" t="s">
        <v>325</v>
      </c>
      <c r="D53" s="43"/>
      <c r="E53" s="16">
        <f>F53 + G53 + H53</f>
        <v>0</v>
      </c>
      <c r="F53" s="17">
        <f>D53 * 0.3272697609</f>
        <v>0</v>
      </c>
      <c r="G53" s="17">
        <f>D53 * 0.0043022819</f>
        <v>0</v>
      </c>
      <c r="H53" s="17">
        <f>D53 * 0.0098710364</f>
        <v>0</v>
      </c>
    </row>
    <row r="54" spans="1:8" ht="15" thickBot="1" x14ac:dyDescent="0.35">
      <c r="A54" s="129"/>
      <c r="B54" s="158" t="s">
        <v>30</v>
      </c>
      <c r="C54" s="127"/>
      <c r="D54" s="127"/>
      <c r="E54" s="127"/>
      <c r="F54" s="127"/>
      <c r="G54" s="127"/>
      <c r="H54" s="127"/>
    </row>
    <row r="55" spans="1:8" x14ac:dyDescent="0.3">
      <c r="A55" s="129"/>
      <c r="B55" s="23" t="s">
        <v>324</v>
      </c>
      <c r="C55" s="13" t="s">
        <v>325</v>
      </c>
      <c r="D55" s="15"/>
      <c r="E55" s="16">
        <f>F55 + G55 + H55</f>
        <v>0</v>
      </c>
      <c r="F55" s="17">
        <f>D55 * 0.1970358842</f>
        <v>0</v>
      </c>
      <c r="G55" s="17">
        <f>D55 * 0.0002943405</f>
        <v>0</v>
      </c>
      <c r="H55" s="17">
        <f>D55 * 0.0027857228</f>
        <v>0</v>
      </c>
    </row>
    <row r="56" spans="1:8" x14ac:dyDescent="0.3">
      <c r="A56" s="129"/>
      <c r="B56" s="23" t="s">
        <v>468</v>
      </c>
      <c r="C56" s="13" t="s">
        <v>325</v>
      </c>
      <c r="D56" s="42"/>
      <c r="E56" s="16">
        <f>F56 + G56 + H56</f>
        <v>0</v>
      </c>
      <c r="F56" s="17">
        <f>D56 * 0.1896100497</f>
        <v>0</v>
      </c>
      <c r="G56" s="17">
        <f>D56 * 0.0002832475</f>
        <v>0</v>
      </c>
      <c r="H56" s="17">
        <f>D56 * 0.0026807353</f>
        <v>0</v>
      </c>
    </row>
    <row r="57" spans="1:8" x14ac:dyDescent="0.3">
      <c r="A57" s="129"/>
      <c r="B57" s="23" t="s">
        <v>469</v>
      </c>
      <c r="C57" s="13" t="s">
        <v>325</v>
      </c>
      <c r="D57" s="42"/>
      <c r="E57" s="16">
        <f>F57 + G57 + H57</f>
        <v>0</v>
      </c>
      <c r="F57" s="17">
        <f>D57 * 0.2524115456</f>
        <v>0</v>
      </c>
      <c r="G57" s="17">
        <f>D57 * 0.000377063</f>
        <v>0</v>
      </c>
      <c r="H57" s="17">
        <f>D57 * 0.0035686322</f>
        <v>0</v>
      </c>
    </row>
    <row r="58" spans="1:8" x14ac:dyDescent="0.3">
      <c r="A58" s="129"/>
      <c r="B58" s="23" t="s">
        <v>470</v>
      </c>
      <c r="C58" s="13" t="s">
        <v>325</v>
      </c>
      <c r="D58" s="42"/>
      <c r="E58" s="16">
        <f>F58 + G58 + H58</f>
        <v>0</v>
      </c>
      <c r="F58" s="17">
        <f>D58 * 0.2706500152</f>
        <v>0</v>
      </c>
      <c r="G58" s="17">
        <f>D58 * 0.0004043084</f>
        <v>0</v>
      </c>
      <c r="H58" s="17">
        <f>D58 * 0.0038264905</f>
        <v>0</v>
      </c>
    </row>
    <row r="59" spans="1:8" ht="15" thickBot="1" x14ac:dyDescent="0.35">
      <c r="A59" s="129"/>
      <c r="B59" s="23" t="s">
        <v>329</v>
      </c>
      <c r="C59" s="13" t="s">
        <v>325</v>
      </c>
      <c r="D59" s="43"/>
      <c r="E59" s="16">
        <f>F59 + G59 + H59</f>
        <v>0</v>
      </c>
      <c r="F59" s="17">
        <f>D59 * 0.2740555275</f>
        <v>0</v>
      </c>
      <c r="G59" s="17">
        <f>D59 * 0.0004093957</f>
        <v>0</v>
      </c>
      <c r="H59" s="17">
        <f>D59 * 0.0038746381</f>
        <v>0</v>
      </c>
    </row>
    <row r="60" spans="1:8" ht="15" thickBot="1" x14ac:dyDescent="0.35">
      <c r="A60" s="129"/>
      <c r="B60" s="158" t="s">
        <v>353</v>
      </c>
      <c r="C60" s="127"/>
      <c r="D60" s="127"/>
      <c r="E60" s="127"/>
      <c r="F60" s="127"/>
      <c r="G60" s="127"/>
      <c r="H60" s="127"/>
    </row>
    <row r="61" spans="1:8" x14ac:dyDescent="0.3">
      <c r="A61" s="129"/>
      <c r="B61" s="23" t="s">
        <v>324</v>
      </c>
      <c r="C61" s="13" t="s">
        <v>325</v>
      </c>
      <c r="D61" s="15"/>
      <c r="E61" s="16">
        <f>F61 + G61 + H61</f>
        <v>0</v>
      </c>
      <c r="F61" s="17">
        <f>D61 * 0.1475444878</f>
        <v>0</v>
      </c>
      <c r="G61" s="17">
        <f>D61 * 0.001939617</f>
        <v>0</v>
      </c>
      <c r="H61" s="17">
        <f>D61 * 0.0044502034</f>
        <v>0</v>
      </c>
    </row>
    <row r="62" spans="1:8" x14ac:dyDescent="0.3">
      <c r="A62" s="129"/>
      <c r="B62" s="23" t="s">
        <v>468</v>
      </c>
      <c r="C62" s="13" t="s">
        <v>325</v>
      </c>
      <c r="D62" s="42"/>
      <c r="E62" s="16">
        <f>F62 + G62 + H62</f>
        <v>0</v>
      </c>
      <c r="F62" s="17">
        <f>D62 * 0.1584235935</f>
        <v>0</v>
      </c>
      <c r="G62" s="17">
        <f>D62 * 0.0020826335</f>
        <v>0</v>
      </c>
      <c r="H62" s="17">
        <f>D62 * 0.0047783365</f>
        <v>0</v>
      </c>
    </row>
    <row r="63" spans="1:8" x14ac:dyDescent="0.3">
      <c r="A63" s="129"/>
      <c r="B63" s="23" t="s">
        <v>469</v>
      </c>
      <c r="C63" s="13" t="s">
        <v>325</v>
      </c>
      <c r="D63" s="42"/>
      <c r="E63" s="16">
        <f>F63 + G63 + H63</f>
        <v>0</v>
      </c>
      <c r="F63" s="17">
        <f>D63 * 0.2137533647</f>
        <v>0</v>
      </c>
      <c r="G63" s="17">
        <f>D63 * 0.0028099976</f>
        <v>0</v>
      </c>
      <c r="H63" s="17">
        <f>D63 * 0.0064471806</f>
        <v>0</v>
      </c>
    </row>
    <row r="64" spans="1:8" x14ac:dyDescent="0.3">
      <c r="A64" s="129"/>
      <c r="B64" s="23" t="s">
        <v>470</v>
      </c>
      <c r="C64" s="13" t="s">
        <v>325</v>
      </c>
      <c r="D64" s="42"/>
      <c r="E64" s="16">
        <f>F64 + G64 + H64</f>
        <v>0</v>
      </c>
      <c r="F64" s="17">
        <f>D64 * 0.2261103156</f>
        <v>0</v>
      </c>
      <c r="G64" s="17">
        <f>D64 * 0.0029724418</f>
        <v>0</v>
      </c>
      <c r="H64" s="17">
        <f>D64 * 0.0068198881</f>
        <v>0</v>
      </c>
    </row>
    <row r="65" spans="1:8" ht="15" thickBot="1" x14ac:dyDescent="0.35">
      <c r="A65" s="129"/>
      <c r="B65" s="23" t="s">
        <v>329</v>
      </c>
      <c r="C65" s="13" t="s">
        <v>325</v>
      </c>
      <c r="D65" s="43"/>
      <c r="E65" s="16">
        <f>F65 + G65 + H65</f>
        <v>0</v>
      </c>
      <c r="F65" s="17">
        <f>D65 * 0.2582016771</f>
        <v>0</v>
      </c>
      <c r="G65" s="17">
        <f>D65 * 0.0033943142</f>
        <v>0</v>
      </c>
      <c r="H65" s="17">
        <f>D65 * 0.0077878205</f>
        <v>0</v>
      </c>
    </row>
    <row r="66" spans="1:8" ht="15" thickBot="1" x14ac:dyDescent="0.35">
      <c r="A66" s="129"/>
      <c r="B66" s="158" t="s">
        <v>354</v>
      </c>
      <c r="C66" s="127"/>
      <c r="D66" s="127"/>
      <c r="E66" s="127"/>
      <c r="F66" s="127"/>
      <c r="G66" s="127"/>
      <c r="H66" s="127"/>
    </row>
    <row r="67" spans="1:8" x14ac:dyDescent="0.3">
      <c r="A67" s="129"/>
      <c r="B67" s="23" t="s">
        <v>324</v>
      </c>
      <c r="C67" s="13" t="s">
        <v>325</v>
      </c>
      <c r="D67" s="15"/>
      <c r="E67" s="16">
        <f>F67 + G67 + H67</f>
        <v>0</v>
      </c>
      <c r="F67" s="17">
        <f>D67 * 0.1766963685</f>
        <v>0</v>
      </c>
      <c r="G67" s="17">
        <f>D67 * 0.0002639565</f>
        <v>0</v>
      </c>
      <c r="H67" s="17">
        <f>D67 * 0.0024981597</f>
        <v>0</v>
      </c>
    </row>
    <row r="68" spans="1:8" x14ac:dyDescent="0.3">
      <c r="A68" s="129"/>
      <c r="B68" s="23" t="s">
        <v>468</v>
      </c>
      <c r="C68" s="13" t="s">
        <v>325</v>
      </c>
      <c r="D68" s="42"/>
      <c r="E68" s="16">
        <f>F68 + G68 + H68</f>
        <v>0</v>
      </c>
      <c r="F68" s="17">
        <f>D68 * 0.1700377098</f>
        <v>0</v>
      </c>
      <c r="G68" s="17">
        <f>D68 * 0.0002540095</f>
        <v>0</v>
      </c>
      <c r="H68" s="17">
        <f>D68 * 0.0024040186</f>
        <v>0</v>
      </c>
    </row>
    <row r="69" spans="1:8" x14ac:dyDescent="0.3">
      <c r="A69" s="129"/>
      <c r="B69" s="23" t="s">
        <v>469</v>
      </c>
      <c r="C69" s="13" t="s">
        <v>325</v>
      </c>
      <c r="D69" s="42"/>
      <c r="E69" s="16">
        <f>F69 + G69 + H69</f>
        <v>0</v>
      </c>
      <c r="F69" s="17">
        <f>D69 * 0.2263569708</f>
        <v>0</v>
      </c>
      <c r="G69" s="17">
        <f>D69 * 0.0003381416</f>
        <v>0</v>
      </c>
      <c r="H69" s="17">
        <f>D69 * 0.0032002688</f>
        <v>0</v>
      </c>
    </row>
    <row r="70" spans="1:8" x14ac:dyDescent="0.3">
      <c r="A70" s="129"/>
      <c r="B70" s="23" t="s">
        <v>470</v>
      </c>
      <c r="C70" s="13" t="s">
        <v>325</v>
      </c>
      <c r="D70" s="42"/>
      <c r="E70" s="16">
        <f>F70 + G70 + H70</f>
        <v>0</v>
      </c>
      <c r="F70" s="17">
        <f>D70 * 0.2427135875</f>
        <v>0</v>
      </c>
      <c r="G70" s="17">
        <f>D70 * 0.0003625758</f>
        <v>0</v>
      </c>
      <c r="H70" s="17">
        <f>D70 * 0.0034315211</f>
        <v>0</v>
      </c>
    </row>
    <row r="71" spans="1:8" ht="15" thickBot="1" x14ac:dyDescent="0.35">
      <c r="A71" s="129"/>
      <c r="B71" s="23" t="s">
        <v>329</v>
      </c>
      <c r="C71" s="13" t="s">
        <v>325</v>
      </c>
      <c r="D71" s="43"/>
      <c r="E71" s="16">
        <f>F71 + G71 + H71</f>
        <v>0</v>
      </c>
      <c r="F71" s="17">
        <f>D71 * 0.2457662524</f>
        <v>0</v>
      </c>
      <c r="G71" s="17">
        <f>D71 * 0.000367136</f>
        <v>0</v>
      </c>
      <c r="H71" s="17">
        <f>D71 * 0.0034746801</f>
        <v>0</v>
      </c>
    </row>
    <row r="72" spans="1:8" ht="15" thickBot="1" x14ac:dyDescent="0.35">
      <c r="A72" s="129"/>
      <c r="B72" s="158" t="s">
        <v>338</v>
      </c>
      <c r="C72" s="127"/>
      <c r="D72" s="127"/>
      <c r="E72" s="127"/>
      <c r="F72" s="127"/>
      <c r="G72" s="127"/>
      <c r="H72" s="127"/>
    </row>
    <row r="73" spans="1:8" x14ac:dyDescent="0.3">
      <c r="A73" s="129"/>
      <c r="B73" s="23" t="s">
        <v>324</v>
      </c>
      <c r="C73" s="13" t="s">
        <v>325</v>
      </c>
      <c r="D73" s="15"/>
      <c r="E73" s="16">
        <f>F73 + G73 + H73</f>
        <v>0</v>
      </c>
      <c r="F73" s="17">
        <f>D73 * 0.0772150584</f>
        <v>0</v>
      </c>
      <c r="G73" s="17">
        <f>D73 * 0.0010150677</f>
        <v>0</v>
      </c>
      <c r="H73" s="17">
        <f>D73 * 0.0023289431</f>
        <v>0</v>
      </c>
    </row>
    <row r="74" spans="1:8" x14ac:dyDescent="0.3">
      <c r="A74" s="129"/>
      <c r="B74" s="23" t="s">
        <v>468</v>
      </c>
      <c r="C74" s="13" t="s">
        <v>325</v>
      </c>
      <c r="D74" s="42"/>
      <c r="E74" s="16">
        <f>F74 + G74 + H74</f>
        <v>0</v>
      </c>
      <c r="F74" s="17">
        <f>D74 * 0.0829099396</f>
        <v>0</v>
      </c>
      <c r="G74" s="17">
        <f>D74 * 0.0010899324</f>
        <v>0</v>
      </c>
      <c r="H74" s="17">
        <f>D74 * 0.0025007108</f>
        <v>0</v>
      </c>
    </row>
    <row r="75" spans="1:8" x14ac:dyDescent="0.3">
      <c r="A75" s="129"/>
      <c r="B75" s="23" t="s">
        <v>469</v>
      </c>
      <c r="C75" s="13" t="s">
        <v>325</v>
      </c>
      <c r="D75" s="42"/>
      <c r="E75" s="16">
        <f>F75 + G75 + H75</f>
        <v>0</v>
      </c>
      <c r="F75" s="17">
        <f>D75 * 0.1118644099</f>
        <v>0</v>
      </c>
      <c r="G75" s="17">
        <f>D75 * 0.0014705673</f>
        <v>0</v>
      </c>
      <c r="H75" s="17">
        <f>D75 * 0.003374029</f>
        <v>0</v>
      </c>
    </row>
    <row r="76" spans="1:8" x14ac:dyDescent="0.3">
      <c r="A76" s="129"/>
      <c r="B76" s="23" t="s">
        <v>470</v>
      </c>
      <c r="C76" s="13" t="s">
        <v>325</v>
      </c>
      <c r="D76" s="42"/>
      <c r="E76" s="16">
        <f>F76 + G76 + H76</f>
        <v>0</v>
      </c>
      <c r="F76" s="17">
        <f>D76 * 0.1183311593</f>
        <v>0</v>
      </c>
      <c r="G76" s="17">
        <f>D76 * 0.0015555791</f>
        <v>0</v>
      </c>
      <c r="H76" s="17">
        <f>D76 * 0.0035690776</f>
        <v>0</v>
      </c>
    </row>
    <row r="77" spans="1:8" ht="15" thickBot="1" x14ac:dyDescent="0.35">
      <c r="A77" s="129"/>
      <c r="B77" s="23" t="s">
        <v>329</v>
      </c>
      <c r="C77" s="13" t="s">
        <v>325</v>
      </c>
      <c r="D77" s="43"/>
      <c r="E77" s="16">
        <f>F77 + G77 + H77</f>
        <v>0</v>
      </c>
      <c r="F77" s="17">
        <f>D77 * 0.1351263523</f>
        <v>0</v>
      </c>
      <c r="G77" s="17">
        <f>D77 * 0.0017763684</f>
        <v>0</v>
      </c>
      <c r="H77" s="17">
        <f>D77 * 0.0040756504</f>
        <v>0</v>
      </c>
    </row>
    <row r="78" spans="1:8" ht="15" thickBot="1" x14ac:dyDescent="0.35">
      <c r="A78" s="129"/>
      <c r="B78" s="158" t="s">
        <v>339</v>
      </c>
      <c r="C78" s="127"/>
      <c r="D78" s="127"/>
      <c r="E78" s="127"/>
      <c r="F78" s="127"/>
      <c r="G78" s="127"/>
      <c r="H78" s="127"/>
    </row>
    <row r="79" spans="1:8" x14ac:dyDescent="0.3">
      <c r="A79" s="129"/>
      <c r="B79" s="23" t="s">
        <v>324</v>
      </c>
      <c r="C79" s="13" t="s">
        <v>325</v>
      </c>
      <c r="D79" s="15"/>
      <c r="E79" s="16">
        <f>F79 + G79 + H79</f>
        <v>0</v>
      </c>
      <c r="F79" s="17">
        <f>D79 * 0.0081144978</f>
        <v>0</v>
      </c>
      <c r="G79" s="17">
        <f>D79 * 0.0002183434</f>
        <v>0</v>
      </c>
      <c r="H79" s="17">
        <f>D79 * 0.0000178392</f>
        <v>0</v>
      </c>
    </row>
    <row r="80" spans="1:8" x14ac:dyDescent="0.3">
      <c r="A80" s="129"/>
      <c r="B80" s="23" t="s">
        <v>468</v>
      </c>
      <c r="C80" s="13" t="s">
        <v>325</v>
      </c>
      <c r="D80" s="42"/>
      <c r="E80" s="16">
        <f>F80 + G80 + H80</f>
        <v>0</v>
      </c>
      <c r="F80" s="17">
        <f>D80 * 0.008712956</f>
        <v>0</v>
      </c>
      <c r="G80" s="17">
        <f>D80 * 0.0002344466</f>
        <v>0</v>
      </c>
      <c r="H80" s="17">
        <f>D80 * 0.0000191549</f>
        <v>0</v>
      </c>
    </row>
    <row r="81" spans="1:8" x14ac:dyDescent="0.3">
      <c r="A81" s="129"/>
      <c r="B81" s="23" t="s">
        <v>469</v>
      </c>
      <c r="C81" s="13" t="s">
        <v>325</v>
      </c>
      <c r="D81" s="42"/>
      <c r="E81" s="16">
        <f>F81 + G81 + H81</f>
        <v>0</v>
      </c>
      <c r="F81" s="17">
        <f>D81 * 0.0098576682</f>
        <v>0</v>
      </c>
      <c r="G81" s="17">
        <f>D81 * 0.0002652483</f>
        <v>0</v>
      </c>
      <c r="H81" s="17">
        <f>D81 * 0.0000216715</f>
        <v>0</v>
      </c>
    </row>
    <row r="82" spans="1:8" x14ac:dyDescent="0.3">
      <c r="A82" s="129"/>
      <c r="B82" s="23" t="s">
        <v>470</v>
      </c>
      <c r="C82" s="13" t="s">
        <v>325</v>
      </c>
      <c r="D82" s="42"/>
      <c r="E82" s="16">
        <f>F82 + G82 + H82</f>
        <v>0</v>
      </c>
      <c r="F82" s="17">
        <f>D82 * 0.0121410596</f>
        <v>0</v>
      </c>
      <c r="G82" s="17">
        <f>D82 * 0.0003266894</f>
        <v>0</v>
      </c>
      <c r="H82" s="17">
        <f>D82 * 0.0000266914</f>
        <v>0</v>
      </c>
    </row>
    <row r="83" spans="1:8" ht="15" thickBot="1" x14ac:dyDescent="0.35">
      <c r="A83" s="129"/>
      <c r="B83" s="23" t="s">
        <v>329</v>
      </c>
      <c r="C83" s="13" t="s">
        <v>325</v>
      </c>
      <c r="D83" s="43"/>
      <c r="E83" s="16">
        <f>F83 + G83 + H83</f>
        <v>0</v>
      </c>
      <c r="F83" s="17">
        <f>D83 * 0.0141921464</f>
        <v>0</v>
      </c>
      <c r="G83" s="17">
        <f>D83 * 0.0003818797</f>
        <v>0</v>
      </c>
      <c r="H83" s="17">
        <f>D83 * 0.0000312006</f>
        <v>0</v>
      </c>
    </row>
    <row r="84" spans="1:8" ht="15" thickBot="1" x14ac:dyDescent="0.35">
      <c r="A84" s="129"/>
      <c r="B84" s="158" t="s">
        <v>340</v>
      </c>
      <c r="C84" s="127"/>
      <c r="D84" s="127"/>
      <c r="E84" s="127"/>
      <c r="F84" s="127"/>
      <c r="G84" s="127"/>
      <c r="H84" s="127"/>
    </row>
    <row r="85" spans="1:8" x14ac:dyDescent="0.3">
      <c r="A85" s="129"/>
      <c r="B85" s="23" t="s">
        <v>324</v>
      </c>
      <c r="C85" s="13" t="s">
        <v>325</v>
      </c>
      <c r="D85" s="15"/>
      <c r="E85" s="16">
        <f>F85 + G85 + H85</f>
        <v>0</v>
      </c>
      <c r="F85" s="17">
        <f>D85 * 0.0924700837</f>
        <v>0</v>
      </c>
      <c r="G85" s="17">
        <f>D85 * 0.0001381357</f>
        <v>0</v>
      </c>
      <c r="H85" s="17">
        <f>D85 * 0.0013073559</f>
        <v>0</v>
      </c>
    </row>
    <row r="86" spans="1:8" x14ac:dyDescent="0.3">
      <c r="A86" s="129"/>
      <c r="B86" s="23" t="s">
        <v>468</v>
      </c>
      <c r="C86" s="13" t="s">
        <v>325</v>
      </c>
      <c r="D86" s="42"/>
      <c r="E86" s="16">
        <f>F86 + G86 + H86</f>
        <v>0</v>
      </c>
      <c r="F86" s="17">
        <f>D86 * 0.0889870519</f>
        <v>0</v>
      </c>
      <c r="G86" s="17">
        <f>D86 * 0.0001329326</f>
        <v>0</v>
      </c>
      <c r="H86" s="17">
        <f>D86 * 0.0012581123</f>
        <v>0</v>
      </c>
    </row>
    <row r="87" spans="1:8" x14ac:dyDescent="0.3">
      <c r="A87" s="129"/>
      <c r="B87" s="23" t="s">
        <v>469</v>
      </c>
      <c r="C87" s="13" t="s">
        <v>325</v>
      </c>
      <c r="D87" s="42"/>
      <c r="E87" s="16">
        <f>F87 + G87 + H87</f>
        <v>0</v>
      </c>
      <c r="F87" s="17">
        <f>D87 * 0.1184605045</f>
        <v>0</v>
      </c>
      <c r="G87" s="17">
        <f>D87 * 0.0001769613</f>
        <v>0</v>
      </c>
      <c r="H87" s="17">
        <f>D87 * 0.0016748124</f>
        <v>0</v>
      </c>
    </row>
    <row r="88" spans="1:8" x14ac:dyDescent="0.3">
      <c r="A88" s="129"/>
      <c r="B88" s="23" t="s">
        <v>470</v>
      </c>
      <c r="C88" s="13" t="s">
        <v>325</v>
      </c>
      <c r="D88" s="42"/>
      <c r="E88" s="16">
        <f>F88 + G88 + H88</f>
        <v>0</v>
      </c>
      <c r="F88" s="17">
        <f>D88 * 0.1270197277</f>
        <v>0</v>
      </c>
      <c r="G88" s="17">
        <f>D88 * 0.0001897474</f>
        <v>0</v>
      </c>
      <c r="H88" s="17">
        <f>D88 * 0.0017958239</f>
        <v>0</v>
      </c>
    </row>
    <row r="89" spans="1:8" ht="15" thickBot="1" x14ac:dyDescent="0.35">
      <c r="A89" s="129"/>
      <c r="B89" s="23" t="s">
        <v>329</v>
      </c>
      <c r="C89" s="13" t="s">
        <v>325</v>
      </c>
      <c r="D89" s="43"/>
      <c r="E89" s="16">
        <f>F89 + G89 + H89</f>
        <v>0</v>
      </c>
      <c r="F89" s="17">
        <f>D89 * 0.1286182334</f>
        <v>0</v>
      </c>
      <c r="G89" s="17">
        <f>D89 * 0.0001921354</f>
        <v>0</v>
      </c>
      <c r="H89" s="17">
        <f>D89 * 0.0018184239</f>
        <v>0</v>
      </c>
    </row>
    <row r="90" spans="1:8" ht="15" thickBot="1" x14ac:dyDescent="0.35">
      <c r="A90" s="129"/>
      <c r="B90" s="158" t="s">
        <v>341</v>
      </c>
      <c r="C90" s="127"/>
      <c r="D90" s="127"/>
      <c r="E90" s="127"/>
      <c r="F90" s="127"/>
      <c r="G90" s="127"/>
      <c r="H90" s="127"/>
    </row>
    <row r="91" spans="1:8" x14ac:dyDescent="0.3">
      <c r="A91" s="129"/>
      <c r="B91" s="23" t="s">
        <v>324</v>
      </c>
      <c r="C91" s="13" t="s">
        <v>325</v>
      </c>
      <c r="D91" s="15"/>
      <c r="E91" s="16">
        <f>F91 + G91 + H91</f>
        <v>0</v>
      </c>
      <c r="F91" s="17">
        <f>D91 * 0.0082367635</f>
        <v>0</v>
      </c>
      <c r="G91" s="17">
        <f>D91 * 0.0002216333</f>
        <v>0</v>
      </c>
      <c r="H91" s="17">
        <f>D91 * 0.000018108</f>
        <v>0</v>
      </c>
    </row>
    <row r="92" spans="1:8" x14ac:dyDescent="0.3">
      <c r="A92" s="129"/>
      <c r="B92" s="23" t="s">
        <v>468</v>
      </c>
      <c r="C92" s="13" t="s">
        <v>325</v>
      </c>
      <c r="D92" s="42"/>
      <c r="E92" s="16">
        <f>F92 + G92 + H92</f>
        <v>0</v>
      </c>
      <c r="F92" s="17">
        <f>D92 * 0.0079111507</f>
        <v>0</v>
      </c>
      <c r="G92" s="17">
        <f>D92 * 0.0002128718</f>
        <v>0</v>
      </c>
      <c r="H92" s="17">
        <f>D92 * 0.0000173922</f>
        <v>0</v>
      </c>
    </row>
    <row r="93" spans="1:8" x14ac:dyDescent="0.3">
      <c r="A93" s="129"/>
      <c r="B93" s="23" t="s">
        <v>469</v>
      </c>
      <c r="C93" s="13" t="s">
        <v>325</v>
      </c>
      <c r="D93" s="42"/>
      <c r="E93" s="16">
        <f>F93 + G93 + H93</f>
        <v>0</v>
      </c>
      <c r="F93" s="17">
        <f>D93 * 0.0086681521</f>
        <v>0</v>
      </c>
      <c r="G93" s="17">
        <f>D93 * 0.000233241</f>
        <v>0</v>
      </c>
      <c r="H93" s="17">
        <f>D93 * 0.0000190564</f>
        <v>0</v>
      </c>
    </row>
    <row r="94" spans="1:8" x14ac:dyDescent="0.3">
      <c r="A94" s="129"/>
      <c r="B94" s="23" t="s">
        <v>470</v>
      </c>
      <c r="C94" s="13" t="s">
        <v>325</v>
      </c>
      <c r="D94" s="42"/>
      <c r="E94" s="16">
        <f>F94 + G94 + H94</f>
        <v>0</v>
      </c>
      <c r="F94" s="17">
        <f>D94 * 0.0098110946</f>
        <v>0</v>
      </c>
      <c r="G94" s="17">
        <f>D94 * 0.0002639951</f>
        <v>0</v>
      </c>
      <c r="H94" s="17">
        <f>D94 * 0.0000215691</f>
        <v>0</v>
      </c>
    </row>
    <row r="95" spans="1:8" ht="15" thickBot="1" x14ac:dyDescent="0.35">
      <c r="A95" s="129"/>
      <c r="B95" s="23" t="s">
        <v>329</v>
      </c>
      <c r="C95" s="13" t="s">
        <v>325</v>
      </c>
      <c r="D95" s="43"/>
      <c r="E95" s="16">
        <f>F95 + G95 + H95</f>
        <v>0</v>
      </c>
      <c r="F95" s="17">
        <f>D95 * 0.0116039756</f>
        <v>0</v>
      </c>
      <c r="G95" s="17">
        <f>D95 * 0.0003122376</f>
        <v>0</v>
      </c>
      <c r="H95" s="17">
        <f>D95 * 0.0000255106</f>
        <v>0</v>
      </c>
    </row>
    <row r="96" spans="1:8" ht="15" thickBot="1" x14ac:dyDescent="0.35">
      <c r="A96" s="129"/>
      <c r="B96" s="120" t="s">
        <v>342</v>
      </c>
      <c r="C96" s="120"/>
      <c r="D96" s="120"/>
      <c r="E96" s="120"/>
      <c r="F96" s="120"/>
      <c r="G96" s="120"/>
      <c r="H96" s="159"/>
    </row>
    <row r="97" spans="1:8" x14ac:dyDescent="0.3">
      <c r="A97" s="129"/>
      <c r="B97" s="23" t="s">
        <v>324</v>
      </c>
      <c r="C97" s="13" t="s">
        <v>325</v>
      </c>
      <c r="D97" s="67"/>
      <c r="E97" s="46">
        <f>F97 + G97 + H97</f>
        <v>0</v>
      </c>
      <c r="F97" s="47">
        <f>D97 * 0.017023481</f>
        <v>0</v>
      </c>
      <c r="G97" s="47">
        <f>D97 * 0.0004580647</f>
        <v>0</v>
      </c>
      <c r="H97" s="47">
        <f>D97 * 0.0000374251</f>
        <v>0</v>
      </c>
    </row>
    <row r="98" spans="1:8" x14ac:dyDescent="0.3">
      <c r="A98" s="129"/>
      <c r="B98" s="23" t="s">
        <v>468</v>
      </c>
      <c r="C98" s="13" t="s">
        <v>325</v>
      </c>
      <c r="D98" s="68"/>
      <c r="E98" s="46">
        <f>F98 + G98 + H98</f>
        <v>0</v>
      </c>
      <c r="F98" s="47">
        <f>D98 * 0.0182789562</f>
        <v>0</v>
      </c>
      <c r="G98" s="47">
        <f>D98 * 0.0004918468</f>
        <v>0</v>
      </c>
      <c r="H98" s="47">
        <f>D98 * 0.0000401852</f>
        <v>0</v>
      </c>
    </row>
    <row r="99" spans="1:8" x14ac:dyDescent="0.3">
      <c r="A99" s="129"/>
      <c r="B99" s="23" t="s">
        <v>469</v>
      </c>
      <c r="C99" s="13" t="s">
        <v>325</v>
      </c>
      <c r="D99" s="68"/>
      <c r="E99" s="46">
        <f>F99 + G99 + H99</f>
        <v>0</v>
      </c>
      <c r="F99" s="47">
        <f>D99 * 0.0206804306</f>
        <v>0</v>
      </c>
      <c r="G99" s="47">
        <f>D99 * 0.0005564652</f>
        <v>0</v>
      </c>
      <c r="H99" s="47">
        <f>D99 * 0.0000454647</f>
        <v>0</v>
      </c>
    </row>
    <row r="100" spans="1:8" x14ac:dyDescent="0.3">
      <c r="A100" s="129"/>
      <c r="B100" s="23" t="s">
        <v>470</v>
      </c>
      <c r="C100" s="13" t="s">
        <v>325</v>
      </c>
      <c r="D100" s="68"/>
      <c r="E100" s="46">
        <f>F100 + G100 + H100</f>
        <v>0</v>
      </c>
      <c r="F100" s="47">
        <f>D100 * 0.0254706701</f>
        <v>0</v>
      </c>
      <c r="G100" s="47">
        <f>D100 * 0.0006853601</f>
        <v>0</v>
      </c>
      <c r="H100" s="47">
        <f>D100 * 0.0000559957</f>
        <v>0</v>
      </c>
    </row>
    <row r="101" spans="1:8" ht="15" thickBot="1" x14ac:dyDescent="0.35">
      <c r="A101" s="129"/>
      <c r="B101" s="23" t="s">
        <v>329</v>
      </c>
      <c r="C101" s="13" t="s">
        <v>325</v>
      </c>
      <c r="D101" s="69"/>
      <c r="E101" s="46">
        <f>F101 + G101 + H101</f>
        <v>0</v>
      </c>
      <c r="F101" s="47">
        <f>D101 * 0.0297736167</f>
        <v>0</v>
      </c>
      <c r="G101" s="47">
        <f>D101 * 0.000801143</f>
        <v>0</v>
      </c>
      <c r="H101" s="47">
        <f>D101 * 0.0000654555</f>
        <v>0</v>
      </c>
    </row>
    <row r="102" spans="1:8" x14ac:dyDescent="0.3">
      <c r="B102" s="26"/>
      <c r="C102" s="26"/>
      <c r="D102" s="27" t="s">
        <v>39</v>
      </c>
      <c r="E102" s="46">
        <f>SUM(E49:E53,E55:E59,E61:E65,E67:E71,E73:E77,E79:E83,E85:E89,E91:E95,E97:E101)</f>
        <v>0</v>
      </c>
      <c r="F102" s="29">
        <f>SUM(F49:F53,F55:F59,F61:F65,F67:F71,F73:F77,F79:F83,F85:F89,F91:F95,F97:F101)</f>
        <v>0</v>
      </c>
      <c r="G102" s="29">
        <f>SUM(G49:G53,G55:G59,G61:G65,G67:G71,G73:G77,G79:G83,G85:G89,G91:G95,G97:G101)</f>
        <v>0</v>
      </c>
      <c r="H102" s="29">
        <f>SUM(H49:H53,H55:H59,H61:H65,H67:H71,H73:H77,H79:H83,H85:H89,H91:H95,H97:H101)</f>
        <v>0</v>
      </c>
    </row>
    <row r="104" spans="1:8" ht="15" thickBot="1" x14ac:dyDescent="0.35">
      <c r="A104" s="111" t="s">
        <v>466</v>
      </c>
      <c r="B104" s="111"/>
      <c r="C104" s="111"/>
      <c r="D104" s="111"/>
      <c r="E104" s="111"/>
      <c r="F104" s="111"/>
      <c r="G104" s="111"/>
      <c r="H104" s="111"/>
    </row>
    <row r="105" spans="1:8" ht="15" thickBot="1" x14ac:dyDescent="0.35">
      <c r="A105" s="128" t="s">
        <v>472</v>
      </c>
      <c r="B105" s="112"/>
      <c r="C105" s="39" t="s">
        <v>19</v>
      </c>
      <c r="D105" s="11" t="s">
        <v>20</v>
      </c>
      <c r="E105" s="32" t="s">
        <v>12</v>
      </c>
      <c r="F105" s="32" t="s">
        <v>13</v>
      </c>
      <c r="G105" s="32" t="s">
        <v>14</v>
      </c>
      <c r="H105" s="32" t="s">
        <v>15</v>
      </c>
    </row>
    <row r="106" spans="1:8" ht="15" thickBot="1" x14ac:dyDescent="0.35">
      <c r="A106" s="129" t="s">
        <v>18</v>
      </c>
      <c r="B106" s="127" t="s">
        <v>352</v>
      </c>
      <c r="C106" s="127"/>
      <c r="D106" s="127"/>
      <c r="E106" s="127"/>
      <c r="F106" s="127"/>
      <c r="G106" s="127"/>
      <c r="H106" s="127"/>
    </row>
    <row r="107" spans="1:8" x14ac:dyDescent="0.3">
      <c r="A107" s="129"/>
      <c r="B107" s="13" t="s">
        <v>324</v>
      </c>
      <c r="C107" s="13" t="s">
        <v>325</v>
      </c>
      <c r="D107" s="15"/>
      <c r="E107" s="16">
        <f>F107 + G107 + H107</f>
        <v>0</v>
      </c>
      <c r="F107" s="17">
        <f>D107 * 0.1759247635</f>
        <v>0</v>
      </c>
      <c r="G107" s="17">
        <f>D107 * 0.0023127035</f>
        <v>0</v>
      </c>
      <c r="H107" s="17">
        <f>D107 * 0.0053062029</f>
        <v>0</v>
      </c>
    </row>
    <row r="108" spans="1:8" x14ac:dyDescent="0.3">
      <c r="A108" s="129"/>
      <c r="B108" s="13" t="s">
        <v>468</v>
      </c>
      <c r="C108" s="13" t="s">
        <v>325</v>
      </c>
      <c r="D108" s="42"/>
      <c r="E108" s="16">
        <f>F108 + G108 + H108</f>
        <v>0</v>
      </c>
      <c r="F108" s="17">
        <f>D108 * 0.1888982676</f>
        <v>0</v>
      </c>
      <c r="G108" s="17">
        <f>D108 * 0.0024832529</f>
        <v>0</v>
      </c>
      <c r="H108" s="17">
        <f>D108 * 0.0056975067</f>
        <v>0</v>
      </c>
    </row>
    <row r="109" spans="1:8" x14ac:dyDescent="0.3">
      <c r="A109" s="129"/>
      <c r="B109" s="13" t="s">
        <v>469</v>
      </c>
      <c r="C109" s="13" t="s">
        <v>325</v>
      </c>
      <c r="D109" s="42"/>
      <c r="E109" s="16">
        <f>F109 + G109 + H109</f>
        <v>0</v>
      </c>
      <c r="F109" s="17">
        <f>D109 * 0.2548694656</f>
        <v>0</v>
      </c>
      <c r="G109" s="17">
        <f>D109 * 0.003350509</f>
        <v>0</v>
      </c>
      <c r="H109" s="17">
        <f>D109 * 0.0076873151</f>
        <v>0</v>
      </c>
    </row>
    <row r="110" spans="1:8" x14ac:dyDescent="0.3">
      <c r="A110" s="129"/>
      <c r="B110" s="13" t="s">
        <v>470</v>
      </c>
      <c r="C110" s="13" t="s">
        <v>325</v>
      </c>
      <c r="D110" s="42"/>
      <c r="E110" s="16">
        <f>F110 + G110 + H110</f>
        <v>0</v>
      </c>
      <c r="F110" s="17">
        <f>D110 * 0.2696032057</f>
        <v>0</v>
      </c>
      <c r="G110" s="17">
        <f>D110 * 0.0035441985</f>
        <v>0</v>
      </c>
      <c r="H110" s="17">
        <f>D110 * 0.0081317108</f>
        <v>0</v>
      </c>
    </row>
    <row r="111" spans="1:8" ht="15" thickBot="1" x14ac:dyDescent="0.35">
      <c r="A111" s="129"/>
      <c r="B111" s="13" t="s">
        <v>329</v>
      </c>
      <c r="C111" s="13" t="s">
        <v>325</v>
      </c>
      <c r="D111" s="43"/>
      <c r="E111" s="16">
        <f>F111 + G111 + H111</f>
        <v>0</v>
      </c>
      <c r="F111" s="17">
        <f>D111 * 0.3078671595</f>
        <v>0</v>
      </c>
      <c r="G111" s="17">
        <f>D111 * 0.0040472157</f>
        <v>0</v>
      </c>
      <c r="H111" s="17">
        <f>D111 * 0.0092858195</f>
        <v>0</v>
      </c>
    </row>
    <row r="112" spans="1:8" ht="15" thickBot="1" x14ac:dyDescent="0.35">
      <c r="A112" s="129"/>
      <c r="B112" s="127" t="s">
        <v>30</v>
      </c>
      <c r="C112" s="127"/>
      <c r="D112" s="127"/>
      <c r="E112" s="127"/>
      <c r="F112" s="127"/>
      <c r="G112" s="127"/>
      <c r="H112" s="127"/>
    </row>
    <row r="113" spans="1:8" x14ac:dyDescent="0.3">
      <c r="A113" s="129"/>
      <c r="B113" s="13" t="s">
        <v>324</v>
      </c>
      <c r="C113" s="13" t="s">
        <v>325</v>
      </c>
      <c r="D113" s="15"/>
      <c r="E113" s="16">
        <f>F113 + G113 + H113</f>
        <v>0</v>
      </c>
      <c r="F113" s="17">
        <f>D113 * 0.1871615024</f>
        <v>0</v>
      </c>
      <c r="G113" s="17">
        <f>D113 * 0.0002795898</f>
        <v>0</v>
      </c>
      <c r="H113" s="17">
        <f>D113 * 0.0026461174</f>
        <v>0</v>
      </c>
    </row>
    <row r="114" spans="1:8" x14ac:dyDescent="0.3">
      <c r="A114" s="129"/>
      <c r="B114" s="13" t="s">
        <v>468</v>
      </c>
      <c r="C114" s="13" t="s">
        <v>325</v>
      </c>
      <c r="D114" s="42"/>
      <c r="E114" s="16">
        <f>F114 + G114 + H114</f>
        <v>0</v>
      </c>
      <c r="F114" s="17">
        <f>D114 * 0.1801099</f>
        <v>0</v>
      </c>
      <c r="G114" s="17">
        <f>D114 * 0.0002690558</f>
        <v>0</v>
      </c>
      <c r="H114" s="17">
        <f>D114 * 0.0025464207</f>
        <v>0</v>
      </c>
    </row>
    <row r="115" spans="1:8" x14ac:dyDescent="0.3">
      <c r="A115" s="129"/>
      <c r="B115" s="13" t="s">
        <v>469</v>
      </c>
      <c r="C115" s="13" t="s">
        <v>325</v>
      </c>
      <c r="D115" s="42"/>
      <c r="E115" s="16">
        <f>F115 + G115 + H115</f>
        <v>0</v>
      </c>
      <c r="F115" s="17">
        <f>D115 * 0.239765173</f>
        <v>0</v>
      </c>
      <c r="G115" s="17">
        <f>D115 * 0.0003581713</f>
        <v>0</v>
      </c>
      <c r="H115" s="17">
        <f>D115 * 0.0033898359</f>
        <v>0</v>
      </c>
    </row>
    <row r="116" spans="1:8" x14ac:dyDescent="0.3">
      <c r="A116" s="129"/>
      <c r="B116" s="13" t="s">
        <v>470</v>
      </c>
      <c r="C116" s="13" t="s">
        <v>325</v>
      </c>
      <c r="D116" s="42"/>
      <c r="E116" s="16">
        <f>F116 + G116 + H116</f>
        <v>0</v>
      </c>
      <c r="F116" s="17">
        <f>D116 * 0.2570894471</f>
        <v>0</v>
      </c>
      <c r="G116" s="17">
        <f>D116 * 0.0003840511</f>
        <v>0</v>
      </c>
      <c r="H116" s="17">
        <f>D116 * 0.0036347691</f>
        <v>0</v>
      </c>
    </row>
    <row r="117" spans="1:8" ht="15" thickBot="1" x14ac:dyDescent="0.35">
      <c r="A117" s="129"/>
      <c r="B117" s="13" t="s">
        <v>329</v>
      </c>
      <c r="C117" s="13" t="s">
        <v>325</v>
      </c>
      <c r="D117" s="43"/>
      <c r="E117" s="16">
        <f>F117 + G117 + H117</f>
        <v>0</v>
      </c>
      <c r="F117" s="17">
        <f>D117 * 0.2603238818</f>
        <v>0</v>
      </c>
      <c r="G117" s="17">
        <f>D117 * 0.0003888828</f>
        <v>0</v>
      </c>
      <c r="H117" s="17">
        <f>D117 * 0.003680498</f>
        <v>0</v>
      </c>
    </row>
    <row r="118" spans="1:8" ht="15" thickBot="1" x14ac:dyDescent="0.35">
      <c r="A118" s="129"/>
      <c r="B118" s="127" t="s">
        <v>353</v>
      </c>
      <c r="C118" s="127"/>
      <c r="D118" s="127"/>
      <c r="E118" s="127"/>
      <c r="F118" s="127"/>
      <c r="G118" s="127"/>
      <c r="H118" s="127"/>
    </row>
    <row r="119" spans="1:8" x14ac:dyDescent="0.3">
      <c r="A119" s="129"/>
      <c r="B119" s="13" t="s">
        <v>324</v>
      </c>
      <c r="C119" s="13" t="s">
        <v>325</v>
      </c>
      <c r="D119" s="15"/>
      <c r="E119" s="16">
        <f>F119 + G119 + H119</f>
        <v>0</v>
      </c>
      <c r="F119" s="17">
        <f>D119 * 0.1381196948</f>
        <v>0</v>
      </c>
      <c r="G119" s="17">
        <f>D119 * 0.0018157188</f>
        <v>0</v>
      </c>
      <c r="H119" s="17">
        <f>D119 * 0.0041659349</f>
        <v>0</v>
      </c>
    </row>
    <row r="120" spans="1:8" x14ac:dyDescent="0.3">
      <c r="A120" s="129"/>
      <c r="B120" s="13" t="s">
        <v>468</v>
      </c>
      <c r="C120" s="13" t="s">
        <v>325</v>
      </c>
      <c r="D120" s="42"/>
      <c r="E120" s="16">
        <f>F120 + G120 + H120</f>
        <v>0</v>
      </c>
      <c r="F120" s="17">
        <f>D120 * 0.1483045897</f>
        <v>0</v>
      </c>
      <c r="G120" s="17">
        <f>D120 * 0.0019496092</f>
        <v>0</v>
      </c>
      <c r="H120" s="17">
        <f>D120 * 0.0044731294</f>
        <v>0</v>
      </c>
    </row>
    <row r="121" spans="1:8" x14ac:dyDescent="0.3">
      <c r="A121" s="129"/>
      <c r="B121" s="13" t="s">
        <v>469</v>
      </c>
      <c r="C121" s="13" t="s">
        <v>325</v>
      </c>
      <c r="D121" s="42"/>
      <c r="E121" s="16">
        <f>F121 + G121 + H121</f>
        <v>0</v>
      </c>
      <c r="F121" s="17">
        <f>D121 * 0.2000997694</f>
        <v>0</v>
      </c>
      <c r="G121" s="17">
        <f>D121 * 0.0026305077</f>
        <v>0</v>
      </c>
      <c r="H121" s="17">
        <f>D121 * 0.0060353639</f>
        <v>0</v>
      </c>
    </row>
    <row r="122" spans="1:8" x14ac:dyDescent="0.3">
      <c r="A122" s="129"/>
      <c r="B122" s="13" t="s">
        <v>470</v>
      </c>
      <c r="C122" s="13" t="s">
        <v>325</v>
      </c>
      <c r="D122" s="42"/>
      <c r="E122" s="16">
        <f>F122 + G122 + H122</f>
        <v>0</v>
      </c>
      <c r="F122" s="17">
        <f>D122 * 0.2116683793</f>
        <v>0</v>
      </c>
      <c r="G122" s="17">
        <f>D122 * 0.0027825884</f>
        <v>0</v>
      </c>
      <c r="H122" s="17">
        <f>D122 * 0.0063842937</f>
        <v>0</v>
      </c>
    </row>
    <row r="123" spans="1:8" ht="15" thickBot="1" x14ac:dyDescent="0.35">
      <c r="A123" s="129"/>
      <c r="B123" s="13" t="s">
        <v>329</v>
      </c>
      <c r="C123" s="13" t="s">
        <v>325</v>
      </c>
      <c r="D123" s="43"/>
      <c r="E123" s="16">
        <f>F123 + G123 + H123</f>
        <v>0</v>
      </c>
      <c r="F123" s="17">
        <f>D123 * 0.2417077009</f>
        <v>0</v>
      </c>
      <c r="G123" s="17">
        <f>D123 * 0.0031774847</f>
        <v>0</v>
      </c>
      <c r="H123" s="17">
        <f>D123 * 0.0072903329</f>
        <v>0</v>
      </c>
    </row>
    <row r="124" spans="1:8" ht="15" thickBot="1" x14ac:dyDescent="0.35">
      <c r="A124" s="129"/>
      <c r="B124" s="127" t="s">
        <v>354</v>
      </c>
      <c r="C124" s="127"/>
      <c r="D124" s="127"/>
      <c r="E124" s="127"/>
      <c r="F124" s="127"/>
      <c r="G124" s="127"/>
      <c r="H124" s="127"/>
    </row>
    <row r="125" spans="1:8" x14ac:dyDescent="0.3">
      <c r="A125" s="129"/>
      <c r="B125" s="13" t="s">
        <v>324</v>
      </c>
      <c r="C125" s="13" t="s">
        <v>325</v>
      </c>
      <c r="D125" s="15"/>
      <c r="E125" s="16">
        <f>F125 + G125 + H125</f>
        <v>0</v>
      </c>
      <c r="F125" s="17">
        <f>D125 * 0.1683269344</f>
        <v>0</v>
      </c>
      <c r="G125" s="17">
        <f>D125 * 0.0002514539</f>
        <v>0</v>
      </c>
      <c r="H125" s="17">
        <f>D125 * 0.0023798314</f>
        <v>0</v>
      </c>
    </row>
    <row r="126" spans="1:8" x14ac:dyDescent="0.3">
      <c r="A126" s="129"/>
      <c r="B126" s="13" t="s">
        <v>468</v>
      </c>
      <c r="C126" s="13" t="s">
        <v>325</v>
      </c>
      <c r="D126" s="42"/>
      <c r="E126" s="16">
        <f>F126 + G126 + H126</f>
        <v>0</v>
      </c>
      <c r="F126" s="17">
        <f>D126 * 0.1619837</f>
        <v>0</v>
      </c>
      <c r="G126" s="17">
        <f>D126 * 0.0002419781</f>
        <v>0</v>
      </c>
      <c r="H126" s="17">
        <f>D126 * 0.0022901498</f>
        <v>0</v>
      </c>
    </row>
    <row r="127" spans="1:8" x14ac:dyDescent="0.3">
      <c r="A127" s="129"/>
      <c r="B127" s="13" t="s">
        <v>469</v>
      </c>
      <c r="C127" s="13" t="s">
        <v>325</v>
      </c>
      <c r="D127" s="42"/>
      <c r="E127" s="16">
        <f>F127 + G127 + H127</f>
        <v>0</v>
      </c>
      <c r="F127" s="17">
        <f>D127 * 0.2156352205</f>
        <v>0</v>
      </c>
      <c r="G127" s="17">
        <f>D127 * 0.000322125</f>
        <v>0</v>
      </c>
      <c r="H127" s="17">
        <f>D127 * 0.0030486831</f>
        <v>0</v>
      </c>
    </row>
    <row r="128" spans="1:8" x14ac:dyDescent="0.3">
      <c r="A128" s="129"/>
      <c r="B128" s="13" t="s">
        <v>470</v>
      </c>
      <c r="C128" s="13" t="s">
        <v>325</v>
      </c>
      <c r="D128" s="42"/>
      <c r="E128" s="16">
        <f>F128 + G128 + H128</f>
        <v>0</v>
      </c>
      <c r="F128" s="17">
        <f>D128 * 0.2312166422</f>
        <v>0</v>
      </c>
      <c r="G128" s="17">
        <f>D128 * 0.0003454012</f>
        <v>0</v>
      </c>
      <c r="H128" s="17">
        <f>D128 * 0.0032689755</f>
        <v>0</v>
      </c>
    </row>
    <row r="129" spans="1:8" ht="15" thickBot="1" x14ac:dyDescent="0.35">
      <c r="A129" s="129"/>
      <c r="B129" s="13" t="s">
        <v>329</v>
      </c>
      <c r="C129" s="13" t="s">
        <v>325</v>
      </c>
      <c r="D129" s="43"/>
      <c r="E129" s="16">
        <f>F129 + G129 + H129</f>
        <v>0</v>
      </c>
      <c r="F129" s="17">
        <f>D129 * 0.2341276334</f>
        <v>0</v>
      </c>
      <c r="G129" s="17">
        <f>D129 * 0.0003497497</f>
        <v>0</v>
      </c>
      <c r="H129" s="17">
        <f>D129 * 0.0033101316</f>
        <v>0</v>
      </c>
    </row>
    <row r="130" spans="1:8" ht="15" thickBot="1" x14ac:dyDescent="0.35">
      <c r="A130" s="129"/>
      <c r="B130" s="127" t="s">
        <v>338</v>
      </c>
      <c r="C130" s="127"/>
      <c r="D130" s="127"/>
      <c r="E130" s="127"/>
      <c r="F130" s="127"/>
      <c r="G130" s="127"/>
      <c r="H130" s="127"/>
    </row>
    <row r="131" spans="1:8" x14ac:dyDescent="0.3">
      <c r="A131" s="129"/>
      <c r="B131" s="13" t="s">
        <v>324</v>
      </c>
      <c r="C131" s="13" t="s">
        <v>325</v>
      </c>
      <c r="D131" s="15"/>
      <c r="E131" s="16">
        <f>F131 + G131 + H131</f>
        <v>0</v>
      </c>
      <c r="F131" s="17">
        <f>D131 * 0.0722826324</f>
        <v>0</v>
      </c>
      <c r="G131" s="17">
        <f>D131 * 0.0009502261</f>
        <v>0</v>
      </c>
      <c r="H131" s="17">
        <f>D131 * 0.0021801724</f>
        <v>0</v>
      </c>
    </row>
    <row r="132" spans="1:8" x14ac:dyDescent="0.3">
      <c r="A132" s="129"/>
      <c r="B132" s="13" t="s">
        <v>468</v>
      </c>
      <c r="C132" s="13" t="s">
        <v>325</v>
      </c>
      <c r="D132" s="42"/>
      <c r="E132" s="16">
        <f>F132 + G132 + H132</f>
        <v>0</v>
      </c>
      <c r="F132" s="17">
        <f>D132 * 0.0776127588</f>
        <v>0</v>
      </c>
      <c r="G132" s="17">
        <f>D132 * 0.0010202958</f>
        <v>0</v>
      </c>
      <c r="H132" s="17">
        <f>D132 * 0.0023409384</f>
        <v>0</v>
      </c>
    </row>
    <row r="133" spans="1:8" x14ac:dyDescent="0.3">
      <c r="A133" s="129"/>
      <c r="B133" s="13" t="s">
        <v>469</v>
      </c>
      <c r="C133" s="13" t="s">
        <v>325</v>
      </c>
      <c r="D133" s="42"/>
      <c r="E133" s="16">
        <f>F133 + G133 + H133</f>
        <v>0</v>
      </c>
      <c r="F133" s="17">
        <f>D133 * 0.1047199226</f>
        <v>0</v>
      </c>
      <c r="G133" s="17">
        <f>D133 * 0.0013766461</f>
        <v>0</v>
      </c>
      <c r="H133" s="17">
        <f>D133 * 0.0031585386</f>
        <v>0</v>
      </c>
    </row>
    <row r="134" spans="1:8" x14ac:dyDescent="0.3">
      <c r="A134" s="129"/>
      <c r="B134" s="13" t="s">
        <v>470</v>
      </c>
      <c r="C134" s="13" t="s">
        <v>325</v>
      </c>
      <c r="D134" s="42"/>
      <c r="E134" s="16">
        <f>F134 + G134 + H134</f>
        <v>0</v>
      </c>
      <c r="F134" s="17">
        <f>D134 * 0.1107724988</f>
        <v>0</v>
      </c>
      <c r="G134" s="17">
        <f>D134 * 0.0014562131</f>
        <v>0</v>
      </c>
      <c r="H134" s="17">
        <f>D134 * 0.003341095</f>
        <v>0</v>
      </c>
    </row>
    <row r="135" spans="1:8" ht="15" thickBot="1" x14ac:dyDescent="0.35">
      <c r="A135" s="129"/>
      <c r="B135" s="13" t="s">
        <v>329</v>
      </c>
      <c r="C135" s="13" t="s">
        <v>325</v>
      </c>
      <c r="D135" s="43"/>
      <c r="E135" s="16">
        <f>F135 + G135 + H135</f>
        <v>0</v>
      </c>
      <c r="F135" s="17">
        <f>D135 * 0.1264946068</f>
        <v>0</v>
      </c>
      <c r="G135" s="17">
        <f>D135 * 0.0016628956</f>
        <v>0</v>
      </c>
      <c r="H135" s="17">
        <f>D135 * 0.0038153017</f>
        <v>0</v>
      </c>
    </row>
    <row r="136" spans="1:8" ht="15" thickBot="1" x14ac:dyDescent="0.35">
      <c r="A136" s="129"/>
      <c r="B136" s="127" t="s">
        <v>339</v>
      </c>
      <c r="C136" s="127"/>
      <c r="D136" s="127"/>
      <c r="E136" s="127"/>
      <c r="F136" s="127"/>
      <c r="G136" s="127"/>
      <c r="H136" s="127"/>
    </row>
    <row r="137" spans="1:8" x14ac:dyDescent="0.3">
      <c r="A137" s="129"/>
      <c r="B137" s="13" t="s">
        <v>324</v>
      </c>
      <c r="C137" s="13" t="s">
        <v>325</v>
      </c>
      <c r="D137" s="15"/>
      <c r="E137" s="16">
        <f>F137 + G137 + H137</f>
        <v>0</v>
      </c>
      <c r="F137" s="17">
        <f>D137 * 0.0078530745</f>
        <v>0</v>
      </c>
      <c r="G137" s="17">
        <f>D137 * 0.0002113091</f>
        <v>0</v>
      </c>
      <c r="H137" s="17">
        <f>D137 * 0.0000172645</f>
        <v>0</v>
      </c>
    </row>
    <row r="138" spans="1:8" x14ac:dyDescent="0.3">
      <c r="A138" s="129"/>
      <c r="B138" s="13" t="s">
        <v>468</v>
      </c>
      <c r="C138" s="13" t="s">
        <v>325</v>
      </c>
      <c r="D138" s="42"/>
      <c r="E138" s="16">
        <f>F138 + G138 + H138</f>
        <v>0</v>
      </c>
      <c r="F138" s="17">
        <f>D138 * 0.0084322276</f>
        <v>0</v>
      </c>
      <c r="G138" s="17">
        <f>D138 * 0.0002268928</f>
        <v>0</v>
      </c>
      <c r="H138" s="17">
        <f>D138 * 0.0000185377</f>
        <v>0</v>
      </c>
    </row>
    <row r="139" spans="1:8" x14ac:dyDescent="0.3">
      <c r="A139" s="129"/>
      <c r="B139" s="13" t="s">
        <v>469</v>
      </c>
      <c r="C139" s="13" t="s">
        <v>325</v>
      </c>
      <c r="D139" s="42"/>
      <c r="E139" s="16">
        <f>F139 + G139 + H139</f>
        <v>0</v>
      </c>
      <c r="F139" s="17">
        <f>D139 * 0.0095400992</f>
        <v>0</v>
      </c>
      <c r="G139" s="17">
        <f>D139 * 0.0002567032</f>
        <v>0</v>
      </c>
      <c r="H139" s="17">
        <f>D139 * 0.0000209733</f>
        <v>0</v>
      </c>
    </row>
    <row r="140" spans="1:8" x14ac:dyDescent="0.3">
      <c r="A140" s="129"/>
      <c r="B140" s="13" t="s">
        <v>470</v>
      </c>
      <c r="C140" s="13" t="s">
        <v>325</v>
      </c>
      <c r="D140" s="42"/>
      <c r="E140" s="16">
        <f>F140 + G140 + H140</f>
        <v>0</v>
      </c>
      <c r="F140" s="17">
        <f>D140 * 0.0117498095</f>
        <v>0</v>
      </c>
      <c r="G140" s="17">
        <f>D140 * 0.0003161617</f>
        <v>0</v>
      </c>
      <c r="H140" s="17">
        <f>D140 * 0.0000258312</f>
        <v>0</v>
      </c>
    </row>
    <row r="141" spans="1:8" ht="15" thickBot="1" x14ac:dyDescent="0.35">
      <c r="A141" s="129"/>
      <c r="B141" s="13" t="s">
        <v>329</v>
      </c>
      <c r="C141" s="13" t="s">
        <v>325</v>
      </c>
      <c r="D141" s="43"/>
      <c r="E141" s="16">
        <f>F141 + G141 + H141</f>
        <v>0</v>
      </c>
      <c r="F141" s="17">
        <f>D141 * 0.0137348568</f>
        <v>0</v>
      </c>
      <c r="G141" s="17">
        <f>D141 * 0.000369575</f>
        <v>0</v>
      </c>
      <c r="H141" s="17">
        <f>D141 * 0.0000301953</f>
        <v>0</v>
      </c>
    </row>
    <row r="142" spans="1:8" ht="15" thickBot="1" x14ac:dyDescent="0.35">
      <c r="A142" s="129"/>
      <c r="B142" s="127" t="s">
        <v>340</v>
      </c>
      <c r="C142" s="127"/>
      <c r="D142" s="127"/>
      <c r="E142" s="127"/>
      <c r="F142" s="127"/>
      <c r="G142" s="127"/>
      <c r="H142" s="127"/>
    </row>
    <row r="143" spans="1:8" x14ac:dyDescent="0.3">
      <c r="A143" s="129"/>
      <c r="B143" s="13" t="s">
        <v>324</v>
      </c>
      <c r="C143" s="13" t="s">
        <v>325</v>
      </c>
      <c r="D143" s="15"/>
      <c r="E143" s="16">
        <f>F143 + G143 + H143</f>
        <v>0</v>
      </c>
      <c r="F143" s="17">
        <f>D143 * 0.0880915679</f>
        <v>0</v>
      </c>
      <c r="G143" s="17">
        <f>D143 * 0.0001315949</f>
        <v>0</v>
      </c>
      <c r="H143" s="17">
        <f>D143 * 0.0012454518</f>
        <v>0</v>
      </c>
    </row>
    <row r="144" spans="1:8" x14ac:dyDescent="0.3">
      <c r="A144" s="129"/>
      <c r="B144" s="13" t="s">
        <v>468</v>
      </c>
      <c r="C144" s="13" t="s">
        <v>325</v>
      </c>
      <c r="D144" s="42"/>
      <c r="E144" s="16">
        <f>F144 + G144 + H144</f>
        <v>0</v>
      </c>
      <c r="F144" s="17">
        <f>D144 * 0.0847715944</f>
        <v>0</v>
      </c>
      <c r="G144" s="17">
        <f>D144 * 0.0001266354</f>
        <v>0</v>
      </c>
      <c r="H144" s="17">
        <f>D144 * 0.0011985135</f>
        <v>0</v>
      </c>
    </row>
    <row r="145" spans="1:8" x14ac:dyDescent="0.3">
      <c r="A145" s="129"/>
      <c r="B145" s="13" t="s">
        <v>469</v>
      </c>
      <c r="C145" s="13" t="s">
        <v>325</v>
      </c>
      <c r="D145" s="42"/>
      <c r="E145" s="16">
        <f>F145 + G145 + H145</f>
        <v>0</v>
      </c>
      <c r="F145" s="17">
        <f>D145 * 0.1128496957</f>
        <v>0</v>
      </c>
      <c r="G145" s="17">
        <f>D145 * 0.0001685796</f>
        <v>0</v>
      </c>
      <c r="H145" s="17">
        <f>D145 * 0.0015954859</f>
        <v>0</v>
      </c>
    </row>
    <row r="146" spans="1:8" x14ac:dyDescent="0.3">
      <c r="A146" s="129"/>
      <c r="B146" s="13" t="s">
        <v>470</v>
      </c>
      <c r="C146" s="13" t="s">
        <v>325</v>
      </c>
      <c r="D146" s="42"/>
      <c r="E146" s="16">
        <f>F146 + G146 + H146</f>
        <v>0</v>
      </c>
      <c r="F146" s="17">
        <f>D146 * 0.1210026098</f>
        <v>0</v>
      </c>
      <c r="G146" s="17">
        <f>D146 * 0.0001807588</f>
        <v>0</v>
      </c>
      <c r="H146" s="17">
        <f>D146 * 0.001710753</f>
        <v>0</v>
      </c>
    </row>
    <row r="147" spans="1:8" ht="15" thickBot="1" x14ac:dyDescent="0.35">
      <c r="A147" s="129"/>
      <c r="B147" s="13" t="s">
        <v>329</v>
      </c>
      <c r="C147" s="13" t="s">
        <v>325</v>
      </c>
      <c r="D147" s="43"/>
      <c r="E147" s="16">
        <f>F147 + G147 + H147</f>
        <v>0</v>
      </c>
      <c r="F147" s="17">
        <f>D147 * 0.1225262691</f>
        <v>0</v>
      </c>
      <c r="G147" s="17">
        <f>D147 * 0.0001830349</f>
        <v>0</v>
      </c>
      <c r="H147" s="17">
        <f>D147 * 0.0017322947</f>
        <v>0</v>
      </c>
    </row>
    <row r="148" spans="1:8" ht="15" thickBot="1" x14ac:dyDescent="0.35">
      <c r="A148" s="129"/>
      <c r="B148" s="127" t="s">
        <v>341</v>
      </c>
      <c r="C148" s="127"/>
      <c r="D148" s="127"/>
      <c r="E148" s="127"/>
      <c r="F148" s="127"/>
      <c r="G148" s="127"/>
      <c r="H148" s="127"/>
    </row>
    <row r="149" spans="1:8" x14ac:dyDescent="0.3">
      <c r="A149" s="129"/>
      <c r="B149" s="13" t="s">
        <v>324</v>
      </c>
      <c r="C149" s="13" t="s">
        <v>325</v>
      </c>
      <c r="D149" s="15"/>
      <c r="E149" s="16">
        <f>F149 + G149 + H149</f>
        <v>0</v>
      </c>
      <c r="F149" s="17">
        <f>D149 * 0.0079656876</f>
        <v>0</v>
      </c>
      <c r="G149" s="17">
        <f>D149 * 0.0002143393</f>
        <v>0</v>
      </c>
      <c r="H149" s="17">
        <f>D149 * 0.0000175121</f>
        <v>0</v>
      </c>
    </row>
    <row r="150" spans="1:8" x14ac:dyDescent="0.3">
      <c r="A150" s="129"/>
      <c r="B150" s="13" t="s">
        <v>468</v>
      </c>
      <c r="C150" s="13" t="s">
        <v>325</v>
      </c>
      <c r="D150" s="42"/>
      <c r="E150" s="16">
        <f>F150 + G150 + H150</f>
        <v>0</v>
      </c>
      <c r="F150" s="17">
        <f>D150 * 0.0076507731</f>
        <v>0</v>
      </c>
      <c r="G150" s="17">
        <f>D150 * 0.0002058656</f>
        <v>0</v>
      </c>
      <c r="H150" s="17">
        <f>D150 * 0.0000168198</f>
        <v>0</v>
      </c>
    </row>
    <row r="151" spans="1:8" x14ac:dyDescent="0.3">
      <c r="A151" s="129"/>
      <c r="B151" s="13" t="s">
        <v>469</v>
      </c>
      <c r="C151" s="13" t="s">
        <v>325</v>
      </c>
      <c r="D151" s="42"/>
      <c r="E151" s="16">
        <f>F151 + G151 + H151</f>
        <v>0</v>
      </c>
      <c r="F151" s="17">
        <f>D151 * 0.0083828387</f>
        <v>0</v>
      </c>
      <c r="G151" s="17">
        <f>D151 * 0.0002255639</f>
        <v>0</v>
      </c>
      <c r="H151" s="17">
        <f>D151 * 0.0000184292</f>
        <v>0</v>
      </c>
    </row>
    <row r="152" spans="1:8" x14ac:dyDescent="0.3">
      <c r="A152" s="129"/>
      <c r="B152" s="13" t="s">
        <v>470</v>
      </c>
      <c r="C152" s="13" t="s">
        <v>325</v>
      </c>
      <c r="D152" s="42"/>
      <c r="E152" s="16">
        <f>F152 + G152 + H152</f>
        <v>0</v>
      </c>
      <c r="F152" s="17">
        <f>D152 * 0.0094881363</f>
        <v>0</v>
      </c>
      <c r="G152" s="17">
        <f>D152 * 0.000255305</f>
        <v>0</v>
      </c>
      <c r="H152" s="17">
        <f>D152 * 0.0000208591</f>
        <v>0</v>
      </c>
    </row>
    <row r="153" spans="1:8" ht="15" thickBot="1" x14ac:dyDescent="0.35">
      <c r="A153" s="129"/>
      <c r="B153" s="13" t="s">
        <v>329</v>
      </c>
      <c r="C153" s="13" t="s">
        <v>325</v>
      </c>
      <c r="D153" s="43"/>
      <c r="E153" s="16">
        <f>F153 + G153 + H153</f>
        <v>0</v>
      </c>
      <c r="F153" s="17">
        <f>D153 * 0.0112220563</f>
        <v>0</v>
      </c>
      <c r="G153" s="17">
        <f>D153 * 0.000301961</f>
        <v>0</v>
      </c>
      <c r="H153" s="17">
        <f>D153 * 0.000024671</f>
        <v>0</v>
      </c>
    </row>
    <row r="154" spans="1:8" ht="15" thickBot="1" x14ac:dyDescent="0.35">
      <c r="A154" s="129"/>
      <c r="B154" s="127" t="s">
        <v>342</v>
      </c>
      <c r="C154" s="127"/>
      <c r="D154" s="127"/>
      <c r="E154" s="127"/>
      <c r="F154" s="127"/>
      <c r="G154" s="127"/>
      <c r="H154" s="127"/>
    </row>
    <row r="155" spans="1:8" x14ac:dyDescent="0.3">
      <c r="A155" s="129"/>
      <c r="B155" s="13" t="s">
        <v>324</v>
      </c>
      <c r="C155" s="13" t="s">
        <v>325</v>
      </c>
      <c r="D155" s="15"/>
      <c r="E155" s="16">
        <f>F155 + G155 + H155</f>
        <v>0</v>
      </c>
      <c r="F155" s="17">
        <f>D155 * 0.0164749748</f>
        <v>0</v>
      </c>
      <c r="G155" s="17">
        <f>D155 * 0.0004433056</f>
        <v>0</v>
      </c>
      <c r="H155" s="17">
        <f>D155 * 0.0000362192</f>
        <v>0</v>
      </c>
    </row>
    <row r="156" spans="1:8" x14ac:dyDescent="0.3">
      <c r="A156" s="129"/>
      <c r="B156" s="13" t="s">
        <v>468</v>
      </c>
      <c r="C156" s="13" t="s">
        <v>325</v>
      </c>
      <c r="D156" s="42"/>
      <c r="E156" s="16">
        <f>F156 + G156 + H156</f>
        <v>0</v>
      </c>
      <c r="F156" s="17">
        <f>D156 * 0.0176899897</f>
        <v>0</v>
      </c>
      <c r="G156" s="17">
        <f>D156 * 0.000475999</f>
        <v>0</v>
      </c>
      <c r="H156" s="17">
        <f>D156 * 0.0000388904</f>
        <v>0</v>
      </c>
    </row>
    <row r="157" spans="1:8" x14ac:dyDescent="0.3">
      <c r="A157" s="129"/>
      <c r="B157" s="13" t="s">
        <v>469</v>
      </c>
      <c r="C157" s="13" t="s">
        <v>325</v>
      </c>
      <c r="D157" s="42"/>
      <c r="E157" s="16">
        <f>F157 + G157 + H157</f>
        <v>0</v>
      </c>
      <c r="F157" s="17">
        <f>D157 * 0.0200141632</f>
        <v>0</v>
      </c>
      <c r="G157" s="17">
        <f>D157 * 0.0005385374</f>
        <v>0</v>
      </c>
      <c r="H157" s="17">
        <f>D157 * 0.0000439999</f>
        <v>0</v>
      </c>
    </row>
    <row r="158" spans="1:8" x14ac:dyDescent="0.3">
      <c r="A158" s="129"/>
      <c r="B158" s="13" t="s">
        <v>470</v>
      </c>
      <c r="C158" s="13" t="s">
        <v>325</v>
      </c>
      <c r="D158" s="42"/>
      <c r="E158" s="16">
        <f>F158 + G158 + H158</f>
        <v>0</v>
      </c>
      <c r="F158" s="17">
        <f>D158 * 0.0246500424</f>
        <v>0</v>
      </c>
      <c r="G158" s="17">
        <f>D158 * 0.0006632788</f>
        <v>0</v>
      </c>
      <c r="H158" s="17">
        <f>D158 * 0.0000541916</f>
        <v>0</v>
      </c>
    </row>
    <row r="159" spans="1:8" ht="15" thickBot="1" x14ac:dyDescent="0.35">
      <c r="A159" s="129"/>
      <c r="B159" s="13" t="s">
        <v>329</v>
      </c>
      <c r="C159" s="13" t="s">
        <v>325</v>
      </c>
      <c r="D159" s="43"/>
      <c r="E159" s="61">
        <f>F159 + G159 + H159</f>
        <v>0</v>
      </c>
      <c r="F159" s="47">
        <f>D159 * 0.0288143139</f>
        <v>0</v>
      </c>
      <c r="G159" s="47">
        <f>D159 * 0.0007753303</f>
        <v>0</v>
      </c>
      <c r="H159" s="47">
        <f>D159 * 0.0000633465</f>
        <v>0</v>
      </c>
    </row>
    <row r="160" spans="1:8" x14ac:dyDescent="0.3">
      <c r="B160" s="26"/>
      <c r="C160" s="26"/>
      <c r="D160" s="27" t="s">
        <v>39</v>
      </c>
      <c r="E160" s="28">
        <f>SUM(E107:E111,E113:E117,E119:E123,E125:E129,E131:E135,E137:E141,E143:E147,E149:E153,E155:E159)</f>
        <v>0</v>
      </c>
      <c r="F160" s="29">
        <f>SUM(F107:F111,F113:F117,F119:F123,F125:F129,F131:F135,F137:F141,F143:F147,F149:F153,F155:F159)</f>
        <v>0</v>
      </c>
      <c r="G160" s="29">
        <f>SUM(G107:G111,G113:G117,G119:G123,G125:G129,G131:G135,G137:G141,G143:G147,G149:G153,G155:G159)</f>
        <v>0</v>
      </c>
      <c r="H160" s="29">
        <f>SUM(H107:H111,H113:H117,H119:H123,H125:H129,H131:H135,H137:H141,H143:H147,H149:H153,H155:H159)</f>
        <v>0</v>
      </c>
    </row>
    <row r="162" spans="1:8" ht="15" thickBot="1" x14ac:dyDescent="0.35">
      <c r="A162" s="111" t="s">
        <v>473</v>
      </c>
      <c r="B162" s="111"/>
      <c r="C162" s="111"/>
      <c r="D162" s="111"/>
      <c r="E162" s="111"/>
      <c r="F162" s="111"/>
      <c r="G162" s="111"/>
      <c r="H162" s="111"/>
    </row>
    <row r="163" spans="1:8" ht="15" thickBot="1" x14ac:dyDescent="0.35">
      <c r="A163" s="155"/>
      <c r="B163" s="137"/>
      <c r="C163" s="39" t="s">
        <v>19</v>
      </c>
      <c r="D163" s="11" t="s">
        <v>20</v>
      </c>
      <c r="E163" s="32" t="s">
        <v>12</v>
      </c>
      <c r="F163" s="32" t="s">
        <v>13</v>
      </c>
      <c r="G163" s="32" t="s">
        <v>14</v>
      </c>
      <c r="H163" s="32" t="s">
        <v>15</v>
      </c>
    </row>
    <row r="164" spans="1:8" x14ac:dyDescent="0.3">
      <c r="A164" s="146" t="s">
        <v>18</v>
      </c>
      <c r="B164" s="70" t="s">
        <v>352</v>
      </c>
      <c r="C164" s="23" t="s">
        <v>325</v>
      </c>
      <c r="D164" s="42"/>
      <c r="E164" s="16">
        <f>F164 + G164 + H164</f>
        <v>0</v>
      </c>
      <c r="F164" s="17">
        <f>D164 * 0.3039654599</f>
        <v>0</v>
      </c>
      <c r="G164" s="17">
        <f>D164 * 0.003995924</f>
        <v>0</v>
      </c>
      <c r="H164" s="17">
        <f>D164 * 0.0091681373</f>
        <v>0</v>
      </c>
    </row>
    <row r="165" spans="1:8" x14ac:dyDescent="0.3">
      <c r="A165" s="147"/>
      <c r="B165" s="70" t="s">
        <v>30</v>
      </c>
      <c r="C165" s="23" t="s">
        <v>325</v>
      </c>
      <c r="D165" s="42"/>
      <c r="E165" s="16">
        <f>F165 + G165 + H165</f>
        <v>0</v>
      </c>
      <c r="F165" s="17">
        <f>D165 * 0.2937267716</f>
        <v>0</v>
      </c>
      <c r="G165" s="17">
        <f>D165 * 0.0004387815</f>
        <v>0</v>
      </c>
      <c r="H165" s="17">
        <f>D165 * 0.0041527531</f>
        <v>0</v>
      </c>
    </row>
    <row r="166" spans="1:8" x14ac:dyDescent="0.3">
      <c r="A166" s="147"/>
      <c r="B166" s="70" t="s">
        <v>474</v>
      </c>
      <c r="C166" s="23" t="s">
        <v>325</v>
      </c>
      <c r="D166" s="42"/>
      <c r="E166" s="16">
        <f>F166 + G166 + H166</f>
        <v>0</v>
      </c>
      <c r="F166" s="17">
        <f>D166 * 0.2399733508</f>
        <v>0</v>
      </c>
      <c r="G166" s="17">
        <f>D166 * 0.003154685</f>
        <v>0</v>
      </c>
      <c r="H166" s="17">
        <f>D166 * 0.0072380218</f>
        <v>0</v>
      </c>
    </row>
    <row r="167" spans="1:8" ht="15" thickBot="1" x14ac:dyDescent="0.35">
      <c r="A167" s="147"/>
      <c r="B167" s="70" t="s">
        <v>475</v>
      </c>
      <c r="C167" s="23" t="s">
        <v>325</v>
      </c>
      <c r="D167" s="43"/>
      <c r="E167" s="44">
        <f>F167 + G167 + H167</f>
        <v>0</v>
      </c>
      <c r="F167" s="45">
        <f>D167 * 0.2633043734</f>
        <v>0</v>
      </c>
      <c r="G167" s="45">
        <f>D167 * 0.0003933352</f>
        <v>0</v>
      </c>
      <c r="H167" s="45">
        <f>D167 * 0.0037226367</f>
        <v>0</v>
      </c>
    </row>
    <row r="168" spans="1:8" x14ac:dyDescent="0.3">
      <c r="A168" s="26"/>
      <c r="B168" s="26"/>
      <c r="C168" s="26"/>
      <c r="D168" s="27" t="s">
        <v>39</v>
      </c>
      <c r="E168" s="46">
        <f>SUM(E164:E167)</f>
        <v>0</v>
      </c>
      <c r="F168" s="47">
        <f>SUM(F164:F167)</f>
        <v>0</v>
      </c>
      <c r="G168" s="47">
        <f>SUM(G164:G167)</f>
        <v>0</v>
      </c>
      <c r="H168" s="47">
        <f>SUM(H164:H167)</f>
        <v>0</v>
      </c>
    </row>
    <row r="170" spans="1:8" ht="15" thickBot="1" x14ac:dyDescent="0.35">
      <c r="A170" s="111" t="s">
        <v>476</v>
      </c>
      <c r="B170" s="111"/>
      <c r="C170" s="111"/>
      <c r="D170" s="111"/>
      <c r="E170" s="111"/>
      <c r="F170" s="111"/>
      <c r="G170" s="111"/>
      <c r="H170" s="111"/>
    </row>
    <row r="171" spans="1:8" ht="15" thickBot="1" x14ac:dyDescent="0.35">
      <c r="A171" s="128" t="s">
        <v>467</v>
      </c>
      <c r="B171" s="112"/>
      <c r="C171" s="39" t="s">
        <v>19</v>
      </c>
      <c r="D171" s="11" t="s">
        <v>20</v>
      </c>
      <c r="E171" s="32" t="s">
        <v>12</v>
      </c>
      <c r="F171" s="32" t="s">
        <v>13</v>
      </c>
      <c r="G171" s="32" t="s">
        <v>14</v>
      </c>
      <c r="H171" s="32" t="s">
        <v>15</v>
      </c>
    </row>
    <row r="172" spans="1:8" ht="15" thickBot="1" x14ac:dyDescent="0.35">
      <c r="A172" s="129" t="s">
        <v>18</v>
      </c>
      <c r="B172" s="126" t="s">
        <v>477</v>
      </c>
      <c r="C172" s="127"/>
      <c r="D172" s="127"/>
      <c r="E172" s="127"/>
      <c r="F172" s="127"/>
      <c r="G172" s="127"/>
      <c r="H172" s="127"/>
    </row>
    <row r="173" spans="1:8" x14ac:dyDescent="0.3">
      <c r="A173" s="139"/>
      <c r="B173" s="13" t="s">
        <v>478</v>
      </c>
      <c r="C173" s="23" t="s">
        <v>325</v>
      </c>
      <c r="D173" s="15"/>
      <c r="E173" s="16">
        <f t="shared" ref="E173:E181" si="0">F173 + G173 + H173</f>
        <v>0</v>
      </c>
      <c r="F173" s="17">
        <f>D173 * 0.4426631361</f>
        <v>0</v>
      </c>
      <c r="G173" s="17">
        <f>D173 * 0.0006612689</f>
        <v>0</v>
      </c>
      <c r="H173" s="17">
        <f>D173 * 0.0062584377</f>
        <v>0</v>
      </c>
    </row>
    <row r="174" spans="1:8" x14ac:dyDescent="0.3">
      <c r="A174" s="139"/>
      <c r="B174" s="13" t="s">
        <v>479</v>
      </c>
      <c r="C174" s="23" t="s">
        <v>325</v>
      </c>
      <c r="D174" s="19"/>
      <c r="E174" s="16">
        <f t="shared" si="0"/>
        <v>0</v>
      </c>
      <c r="F174" s="17">
        <f>D174 * 0.5070845224</f>
        <v>0</v>
      </c>
      <c r="G174" s="17">
        <f>D174 * 0.0007575043</f>
        <v>0</v>
      </c>
      <c r="H174" s="17">
        <f>D174 * 0.0071692369</f>
        <v>0</v>
      </c>
    </row>
    <row r="175" spans="1:8" x14ac:dyDescent="0.3">
      <c r="A175" s="139"/>
      <c r="B175" s="13" t="s">
        <v>480</v>
      </c>
      <c r="C175" s="23" t="s">
        <v>325</v>
      </c>
      <c r="D175" s="19"/>
      <c r="E175" s="16">
        <f t="shared" si="0"/>
        <v>0</v>
      </c>
      <c r="F175" s="17">
        <f>D175 * 0.6201560843</f>
        <v>0</v>
      </c>
      <c r="G175" s="17">
        <f>D175 * 0.0009264154</f>
        <v>0</v>
      </c>
      <c r="H175" s="17">
        <f>D175 * 0.0087678596</f>
        <v>0</v>
      </c>
    </row>
    <row r="176" spans="1:8" x14ac:dyDescent="0.3">
      <c r="A176" s="139"/>
      <c r="B176" s="13" t="s">
        <v>481</v>
      </c>
      <c r="C176" s="23" t="s">
        <v>325</v>
      </c>
      <c r="D176" s="19"/>
      <c r="E176" s="16">
        <f t="shared" si="0"/>
        <v>0</v>
      </c>
      <c r="F176" s="17">
        <f>D176 * 0.7353661155</f>
        <v>0</v>
      </c>
      <c r="G176" s="17">
        <f>D176 * 0.001098521</f>
        <v>0</v>
      </c>
      <c r="H176" s="17">
        <f>D176 * 0.0103967163</f>
        <v>0</v>
      </c>
    </row>
    <row r="177" spans="1:8" x14ac:dyDescent="0.3">
      <c r="A177" s="139"/>
      <c r="B177" s="13" t="s">
        <v>482</v>
      </c>
      <c r="C177" s="23" t="s">
        <v>325</v>
      </c>
      <c r="D177" s="19"/>
      <c r="E177" s="16">
        <f t="shared" si="0"/>
        <v>0</v>
      </c>
      <c r="F177" s="17">
        <f>D177 * 0.8356068619</f>
        <v>0</v>
      </c>
      <c r="G177" s="17">
        <f>D177 * 0.0012482648</f>
        <v>0</v>
      </c>
      <c r="H177" s="17">
        <f>D177 * 0.011813935</f>
        <v>0</v>
      </c>
    </row>
    <row r="178" spans="1:8" x14ac:dyDescent="0.3">
      <c r="A178" s="139"/>
      <c r="B178" s="13" t="s">
        <v>483</v>
      </c>
      <c r="C178" s="23" t="s">
        <v>325</v>
      </c>
      <c r="D178" s="19"/>
      <c r="E178" s="16">
        <f t="shared" si="0"/>
        <v>0</v>
      </c>
      <c r="F178" s="17">
        <f>D178 * 0.9759439068</f>
        <v>0</v>
      </c>
      <c r="G178" s="17">
        <f>D178 * 0.0014579062</f>
        <v>0</v>
      </c>
      <c r="H178" s="17">
        <f>D178 * 0.0137980412</f>
        <v>0</v>
      </c>
    </row>
    <row r="179" spans="1:8" x14ac:dyDescent="0.3">
      <c r="A179" s="139"/>
      <c r="B179" s="13" t="s">
        <v>484</v>
      </c>
      <c r="C179" s="23" t="s">
        <v>325</v>
      </c>
      <c r="D179" s="19"/>
      <c r="E179" s="16">
        <f t="shared" si="0"/>
        <v>0</v>
      </c>
      <c r="F179" s="17">
        <f>D179 * 1.2993873819</f>
        <v>0</v>
      </c>
      <c r="G179" s="17">
        <f>D179 * 0.0019410798</f>
        <v>0</v>
      </c>
      <c r="H179" s="17">
        <f>D179 * 0.0183709335</f>
        <v>0</v>
      </c>
    </row>
    <row r="180" spans="1:8" x14ac:dyDescent="0.3">
      <c r="A180" s="139"/>
      <c r="B180" s="13" t="s">
        <v>485</v>
      </c>
      <c r="C180" s="23" t="s">
        <v>325</v>
      </c>
      <c r="D180" s="19"/>
      <c r="E180" s="16">
        <f t="shared" si="0"/>
        <v>0</v>
      </c>
      <c r="F180" s="17">
        <f>D180 * 1.5311439875</f>
        <v>0</v>
      </c>
      <c r="G180" s="17">
        <f>D180 * 0.0022872876</f>
        <v>0</v>
      </c>
      <c r="H180" s="17">
        <f>D180 * 0.0216475431</f>
        <v>0</v>
      </c>
    </row>
    <row r="181" spans="1:8" ht="15" thickBot="1" x14ac:dyDescent="0.35">
      <c r="A181" s="139"/>
      <c r="B181" s="13" t="s">
        <v>486</v>
      </c>
      <c r="C181" s="23" t="s">
        <v>325</v>
      </c>
      <c r="D181" s="22"/>
      <c r="E181" s="16">
        <f t="shared" si="0"/>
        <v>0</v>
      </c>
      <c r="F181" s="17">
        <f>D181 * 1.5311439875</f>
        <v>0</v>
      </c>
      <c r="G181" s="17">
        <f>D181 * 0.0022872876</f>
        <v>0</v>
      </c>
      <c r="H181" s="17">
        <f>D181 * 0.0216475431</f>
        <v>0</v>
      </c>
    </row>
    <row r="182" spans="1:8" ht="15" thickBot="1" x14ac:dyDescent="0.35">
      <c r="A182" s="129"/>
      <c r="B182" s="148" t="s">
        <v>487</v>
      </c>
      <c r="C182" s="127"/>
      <c r="D182" s="127"/>
      <c r="E182" s="127"/>
      <c r="F182" s="127"/>
      <c r="G182" s="127"/>
      <c r="H182" s="127"/>
    </row>
    <row r="183" spans="1:8" x14ac:dyDescent="0.3">
      <c r="A183" s="139"/>
      <c r="B183" s="13" t="s">
        <v>478</v>
      </c>
      <c r="C183" s="23" t="s">
        <v>325</v>
      </c>
      <c r="D183" s="15"/>
      <c r="E183" s="16">
        <f t="shared" ref="E183:E191" si="1">F183 + G183 + H183</f>
        <v>0</v>
      </c>
      <c r="F183" s="17">
        <f>D183 * 0.3568570571</f>
        <v>0</v>
      </c>
      <c r="G183" s="17">
        <f>D183 * 0.0005330881</f>
        <v>0</v>
      </c>
      <c r="H183" s="17">
        <f>D183 * 0.0050452985</f>
        <v>0</v>
      </c>
    </row>
    <row r="184" spans="1:8" x14ac:dyDescent="0.3">
      <c r="A184" s="139"/>
      <c r="B184" s="13" t="s">
        <v>479</v>
      </c>
      <c r="C184" s="23" t="s">
        <v>325</v>
      </c>
      <c r="D184" s="19"/>
      <c r="E184" s="16">
        <f t="shared" si="1"/>
        <v>0</v>
      </c>
      <c r="F184" s="17">
        <f>D184 * 0.4087149366</f>
        <v>0</v>
      </c>
      <c r="G184" s="17">
        <f>D184 * 0.0006105556</f>
        <v>0</v>
      </c>
      <c r="H184" s="17">
        <f>D184 * 0.005778473</f>
        <v>0</v>
      </c>
    </row>
    <row r="185" spans="1:8" x14ac:dyDescent="0.3">
      <c r="A185" s="139"/>
      <c r="B185" s="13" t="s">
        <v>480</v>
      </c>
      <c r="C185" s="23" t="s">
        <v>325</v>
      </c>
      <c r="D185" s="19"/>
      <c r="E185" s="16">
        <f t="shared" si="1"/>
        <v>0</v>
      </c>
      <c r="F185" s="17">
        <f>D185 * 0.4998671887</f>
        <v>0</v>
      </c>
      <c r="G185" s="17">
        <f>D185 * 0.0007467227</f>
        <v>0</v>
      </c>
      <c r="H185" s="17">
        <f>D185 * 0.0070671972</f>
        <v>0</v>
      </c>
    </row>
    <row r="186" spans="1:8" x14ac:dyDescent="0.3">
      <c r="A186" s="139"/>
      <c r="B186" s="13" t="s">
        <v>481</v>
      </c>
      <c r="C186" s="23" t="s">
        <v>325</v>
      </c>
      <c r="D186" s="19"/>
      <c r="E186" s="16">
        <f t="shared" si="1"/>
        <v>0</v>
      </c>
      <c r="F186" s="17">
        <f>D186 * 0.5926232926</f>
        <v>0</v>
      </c>
      <c r="G186" s="17">
        <f>D186 * 0.0008852857</f>
        <v>0</v>
      </c>
      <c r="H186" s="17">
        <f>D186 * 0.0083785969</f>
        <v>0</v>
      </c>
    </row>
    <row r="187" spans="1:8" x14ac:dyDescent="0.3">
      <c r="A187" s="139"/>
      <c r="B187" s="13" t="s">
        <v>482</v>
      </c>
      <c r="C187" s="23" t="s">
        <v>325</v>
      </c>
      <c r="D187" s="19"/>
      <c r="E187" s="16">
        <f t="shared" si="1"/>
        <v>0</v>
      </c>
      <c r="F187" s="17">
        <f>D187 * 0.6733505071</f>
        <v>0</v>
      </c>
      <c r="G187" s="17">
        <f>D187 * 0.0010058794</f>
        <v>0</v>
      </c>
      <c r="H187" s="17">
        <f>D187 * 0.0095199303</f>
        <v>0</v>
      </c>
    </row>
    <row r="188" spans="1:8" x14ac:dyDescent="0.3">
      <c r="A188" s="139"/>
      <c r="B188" s="13" t="s">
        <v>483</v>
      </c>
      <c r="C188" s="23" t="s">
        <v>325</v>
      </c>
      <c r="D188" s="19"/>
      <c r="E188" s="16">
        <f t="shared" si="1"/>
        <v>0</v>
      </c>
      <c r="F188" s="17">
        <f>D188 * 0.8871974327</f>
        <v>0</v>
      </c>
      <c r="G188" s="17">
        <f>D188 * 0.001325333</f>
        <v>0</v>
      </c>
      <c r="H188" s="17">
        <f>D188 * 0.0125433302</f>
        <v>0</v>
      </c>
    </row>
    <row r="189" spans="1:8" x14ac:dyDescent="0.3">
      <c r="A189" s="139"/>
      <c r="B189" s="13" t="s">
        <v>484</v>
      </c>
      <c r="C189" s="23" t="s">
        <v>325</v>
      </c>
      <c r="D189" s="19"/>
      <c r="E189" s="16">
        <f t="shared" si="1"/>
        <v>0</v>
      </c>
      <c r="F189" s="17">
        <f>D189 * 1.1809696468</f>
        <v>0</v>
      </c>
      <c r="G189" s="17">
        <f>D189 * 0.0017641823</f>
        <v>0</v>
      </c>
      <c r="H189" s="17">
        <f>D189 * 0.0166967258</f>
        <v>0</v>
      </c>
    </row>
    <row r="190" spans="1:8" x14ac:dyDescent="0.3">
      <c r="A190" s="139"/>
      <c r="B190" s="13" t="s">
        <v>485</v>
      </c>
      <c r="C190" s="23" t="s">
        <v>325</v>
      </c>
      <c r="D190" s="19"/>
      <c r="E190" s="16">
        <f t="shared" si="1"/>
        <v>0</v>
      </c>
      <c r="F190" s="17">
        <f>D190 * 1.3638087682</f>
        <v>0</v>
      </c>
      <c r="G190" s="17">
        <f>D190 * 0.0020373152</f>
        <v>0</v>
      </c>
      <c r="H190" s="17">
        <f>D190 * 0.0192817327</f>
        <v>0</v>
      </c>
    </row>
    <row r="191" spans="1:8" ht="15" thickBot="1" x14ac:dyDescent="0.35">
      <c r="A191" s="139"/>
      <c r="B191" s="13" t="s">
        <v>486</v>
      </c>
      <c r="C191" s="23" t="s">
        <v>325</v>
      </c>
      <c r="D191" s="22"/>
      <c r="E191" s="16">
        <f t="shared" si="1"/>
        <v>0</v>
      </c>
      <c r="F191" s="17">
        <f>D191 * 1.4367840316</f>
        <v>0</v>
      </c>
      <c r="G191" s="17">
        <f>D191 * 0.0021463287</f>
        <v>0</v>
      </c>
      <c r="H191" s="17">
        <f>D191 * 0.0203134679</f>
        <v>0</v>
      </c>
    </row>
    <row r="192" spans="1:8" ht="15" thickBot="1" x14ac:dyDescent="0.35">
      <c r="A192" s="129"/>
      <c r="B192" s="148" t="s">
        <v>488</v>
      </c>
      <c r="C192" s="127"/>
      <c r="D192" s="127"/>
      <c r="E192" s="127"/>
      <c r="F192" s="127"/>
      <c r="G192" s="127"/>
      <c r="H192" s="127"/>
    </row>
    <row r="193" spans="1:8" x14ac:dyDescent="0.3">
      <c r="A193" s="139"/>
      <c r="B193" s="13" t="s">
        <v>478</v>
      </c>
      <c r="C193" s="23" t="s">
        <v>325</v>
      </c>
      <c r="D193" s="15"/>
      <c r="E193" s="16">
        <f>F193 + G193 + H193</f>
        <v>0</v>
      </c>
      <c r="F193" s="17">
        <f>D193 * 0</f>
        <v>0</v>
      </c>
      <c r="G193" s="17">
        <f>D193 * 0</f>
        <v>0</v>
      </c>
      <c r="H193" s="17">
        <f>D193 * 0</f>
        <v>0</v>
      </c>
    </row>
    <row r="194" spans="1:8" x14ac:dyDescent="0.3">
      <c r="A194" s="139"/>
      <c r="B194" s="13" t="s">
        <v>479</v>
      </c>
      <c r="C194" s="23" t="s">
        <v>325</v>
      </c>
      <c r="D194" s="19"/>
      <c r="E194" s="16">
        <f>F194 + G194 + H194</f>
        <v>0</v>
      </c>
      <c r="F194" s="17">
        <f>D194 * 0</f>
        <v>0</v>
      </c>
      <c r="G194" s="17">
        <f>D194 * 0</f>
        <v>0</v>
      </c>
      <c r="H194" s="17">
        <f>D194 * 0</f>
        <v>0</v>
      </c>
    </row>
    <row r="195" spans="1:8" x14ac:dyDescent="0.3">
      <c r="A195" s="139"/>
      <c r="B195" s="13" t="s">
        <v>480</v>
      </c>
      <c r="C195" s="23" t="s">
        <v>325</v>
      </c>
      <c r="D195" s="19"/>
      <c r="E195" s="16">
        <f>F195 + G195 + H195</f>
        <v>0</v>
      </c>
      <c r="F195" s="17">
        <f>D195 * 0</f>
        <v>0</v>
      </c>
      <c r="G195" s="17">
        <f>D195 * 0</f>
        <v>0</v>
      </c>
      <c r="H195" s="17">
        <f>D195 * 0</f>
        <v>0</v>
      </c>
    </row>
    <row r="196" spans="1:8" x14ac:dyDescent="0.3">
      <c r="A196" s="139"/>
      <c r="B196" s="13" t="s">
        <v>481</v>
      </c>
      <c r="C196" s="23" t="s">
        <v>325</v>
      </c>
      <c r="D196" s="19"/>
      <c r="E196" s="16">
        <f>F196 + G196 + H196</f>
        <v>0</v>
      </c>
      <c r="F196" s="17">
        <f>D196 * 0</f>
        <v>0</v>
      </c>
      <c r="G196" s="17">
        <f>D196 * 0</f>
        <v>0</v>
      </c>
      <c r="H196" s="17">
        <f>D196 * 0</f>
        <v>0</v>
      </c>
    </row>
    <row r="197" spans="1:8" ht="15" thickBot="1" x14ac:dyDescent="0.35">
      <c r="A197" s="139"/>
      <c r="B197" s="13" t="s">
        <v>482</v>
      </c>
      <c r="C197" s="23" t="s">
        <v>325</v>
      </c>
      <c r="D197" s="22"/>
      <c r="E197" s="61">
        <f>F197 + G197 + H197</f>
        <v>0</v>
      </c>
      <c r="F197" s="47">
        <f>D197 * 0</f>
        <v>0</v>
      </c>
      <c r="G197" s="47">
        <f>D197 * 0</f>
        <v>0</v>
      </c>
      <c r="H197" s="47">
        <f>D197 * 0</f>
        <v>0</v>
      </c>
    </row>
    <row r="198" spans="1:8" x14ac:dyDescent="0.3">
      <c r="B198" s="26"/>
      <c r="C198" s="26"/>
      <c r="D198" s="27" t="s">
        <v>39</v>
      </c>
      <c r="E198" s="28">
        <f>SUM(E173:E181,E183:E191,E193:E197)</f>
        <v>0</v>
      </c>
      <c r="F198" s="29">
        <f>SUM(F173:F181,F183:F191,F193:F197)</f>
        <v>0</v>
      </c>
      <c r="G198" s="29">
        <f>SUM(G173:G181,G183:G191,G193:G197)</f>
        <v>0</v>
      </c>
      <c r="H198" s="29">
        <f>SUM(H173:H181,H183:H191,H193:H197)</f>
        <v>0</v>
      </c>
    </row>
    <row r="200" spans="1:8" ht="15" thickBot="1" x14ac:dyDescent="0.35">
      <c r="A200" s="111" t="s">
        <v>476</v>
      </c>
      <c r="B200" s="111"/>
      <c r="C200" s="111"/>
      <c r="D200" s="111"/>
      <c r="E200" s="111"/>
      <c r="F200" s="111"/>
      <c r="G200" s="111"/>
      <c r="H200" s="111"/>
    </row>
    <row r="201" spans="1:8" ht="15" thickBot="1" x14ac:dyDescent="0.35">
      <c r="A201" s="155" t="s">
        <v>471</v>
      </c>
      <c r="B201" s="112"/>
      <c r="C201" s="39" t="s">
        <v>19</v>
      </c>
      <c r="D201" s="11" t="s">
        <v>20</v>
      </c>
      <c r="E201" s="32" t="s">
        <v>12</v>
      </c>
      <c r="F201" s="32" t="s">
        <v>13</v>
      </c>
      <c r="G201" s="32" t="s">
        <v>14</v>
      </c>
      <c r="H201" s="32" t="s">
        <v>15</v>
      </c>
    </row>
    <row r="202" spans="1:8" ht="15" thickBot="1" x14ac:dyDescent="0.35">
      <c r="A202" s="129" t="s">
        <v>18</v>
      </c>
      <c r="B202" s="156" t="s">
        <v>477</v>
      </c>
      <c r="C202" s="127"/>
      <c r="D202" s="127"/>
      <c r="E202" s="127"/>
      <c r="F202" s="127"/>
      <c r="G202" s="127"/>
      <c r="H202" s="127"/>
    </row>
    <row r="203" spans="1:8" x14ac:dyDescent="0.3">
      <c r="A203" s="139"/>
      <c r="B203" s="13" t="s">
        <v>478</v>
      </c>
      <c r="C203" s="23" t="s">
        <v>325</v>
      </c>
      <c r="D203" s="15"/>
      <c r="E203" s="16">
        <f t="shared" ref="E203:E211" si="2">F203 + G203 + H203</f>
        <v>0</v>
      </c>
      <c r="F203" s="17">
        <f>D203 * 0.4202092089</f>
        <v>0</v>
      </c>
      <c r="G203" s="17">
        <f>D203 * 0.0006277263</f>
        <v>0</v>
      </c>
      <c r="H203" s="17">
        <f>D203 * 0.0059409807</f>
        <v>0</v>
      </c>
    </row>
    <row r="204" spans="1:8" x14ac:dyDescent="0.3">
      <c r="A204" s="139"/>
      <c r="B204" s="13" t="s">
        <v>479</v>
      </c>
      <c r="C204" s="23" t="s">
        <v>325</v>
      </c>
      <c r="D204" s="19"/>
      <c r="E204" s="16">
        <f t="shared" si="2"/>
        <v>0</v>
      </c>
      <c r="F204" s="17">
        <f>D204 * 0.4814228913</f>
        <v>0</v>
      </c>
      <c r="G204" s="17">
        <f>D204 * 0.0007191699</f>
        <v>0</v>
      </c>
      <c r="H204" s="17">
        <f>D204 * 0.006806429</f>
        <v>0</v>
      </c>
    </row>
    <row r="205" spans="1:8" x14ac:dyDescent="0.3">
      <c r="A205" s="139"/>
      <c r="B205" s="13" t="s">
        <v>480</v>
      </c>
      <c r="C205" s="23" t="s">
        <v>325</v>
      </c>
      <c r="D205" s="19"/>
      <c r="E205" s="16">
        <f t="shared" si="2"/>
        <v>0</v>
      </c>
      <c r="F205" s="17">
        <f>D205 * 0.5883463541</f>
        <v>0</v>
      </c>
      <c r="G205" s="17">
        <f>D205 * 0.0008788966</f>
        <v>0</v>
      </c>
      <c r="H205" s="17">
        <f>D205 * 0.0083181289</f>
        <v>0</v>
      </c>
    </row>
    <row r="206" spans="1:8" x14ac:dyDescent="0.3">
      <c r="A206" s="139"/>
      <c r="B206" s="13" t="s">
        <v>481</v>
      </c>
      <c r="C206" s="23" t="s">
        <v>325</v>
      </c>
      <c r="D206" s="19"/>
      <c r="E206" s="16">
        <f t="shared" si="2"/>
        <v>0</v>
      </c>
      <c r="F206" s="17">
        <f>D206 * 0.695269817</f>
        <v>0</v>
      </c>
      <c r="G206" s="17">
        <f>D206 * 0.0010386234</f>
        <v>0</v>
      </c>
      <c r="H206" s="17">
        <f>D206 * 0.0098298288</f>
        <v>0</v>
      </c>
    </row>
    <row r="207" spans="1:8" x14ac:dyDescent="0.3">
      <c r="A207" s="139"/>
      <c r="B207" s="13" t="s">
        <v>482</v>
      </c>
      <c r="C207" s="23" t="s">
        <v>325</v>
      </c>
      <c r="D207" s="19"/>
      <c r="E207" s="16">
        <f t="shared" si="2"/>
        <v>0</v>
      </c>
      <c r="F207" s="17">
        <f>D207 * 0.7928374768</f>
        <v>0</v>
      </c>
      <c r="G207" s="17">
        <f>D207 * 0.0011843741</f>
        <v>0</v>
      </c>
      <c r="H207" s="17">
        <f>D207 * 0.011209255</f>
        <v>0</v>
      </c>
    </row>
    <row r="208" spans="1:8" x14ac:dyDescent="0.3">
      <c r="A208" s="139"/>
      <c r="B208" s="13" t="s">
        <v>483</v>
      </c>
      <c r="C208" s="23" t="s">
        <v>325</v>
      </c>
      <c r="D208" s="19"/>
      <c r="E208" s="16">
        <f t="shared" si="2"/>
        <v>0</v>
      </c>
      <c r="F208" s="17">
        <f>D208 * 0.9513515104</f>
        <v>0</v>
      </c>
      <c r="G208" s="17">
        <f>D208 * 0.0014211691</f>
        <v>0</v>
      </c>
      <c r="H208" s="17">
        <f>D208 * 0.0134503502</f>
        <v>0</v>
      </c>
    </row>
    <row r="209" spans="1:8" x14ac:dyDescent="0.3">
      <c r="A209" s="139"/>
      <c r="B209" s="13" t="s">
        <v>484</v>
      </c>
      <c r="C209" s="23" t="s">
        <v>325</v>
      </c>
      <c r="D209" s="19"/>
      <c r="E209" s="16">
        <f t="shared" si="2"/>
        <v>0</v>
      </c>
      <c r="F209" s="17">
        <f>D209 * 1.2662411084</f>
        <v>0</v>
      </c>
      <c r="G209" s="17">
        <f>D209 * 0.0018915645</f>
        <v>0</v>
      </c>
      <c r="H209" s="17">
        <f>D209 * 0.0179023065</f>
        <v>0</v>
      </c>
    </row>
    <row r="210" spans="1:8" x14ac:dyDescent="0.3">
      <c r="A210" s="139"/>
      <c r="B210" s="13" t="s">
        <v>485</v>
      </c>
      <c r="C210" s="23" t="s">
        <v>325</v>
      </c>
      <c r="D210" s="19"/>
      <c r="E210" s="16">
        <f t="shared" si="2"/>
        <v>0</v>
      </c>
      <c r="F210" s="17">
        <f>D210 * 1.4140627957</f>
        <v>0</v>
      </c>
      <c r="G210" s="17">
        <f>D210 * 0.0021123867</f>
        <v>0</v>
      </c>
      <c r="H210" s="17">
        <f>D210 * 0.0199922316</f>
        <v>0</v>
      </c>
    </row>
    <row r="211" spans="1:8" ht="15" thickBot="1" x14ac:dyDescent="0.35">
      <c r="A211" s="139"/>
      <c r="B211" s="13" t="s">
        <v>486</v>
      </c>
      <c r="C211" s="23" t="s">
        <v>325</v>
      </c>
      <c r="D211" s="22"/>
      <c r="E211" s="16">
        <f t="shared" si="2"/>
        <v>0</v>
      </c>
      <c r="F211" s="17">
        <f>D211 * 1.4897111457</f>
        <v>0</v>
      </c>
      <c r="G211" s="17">
        <f>D211 * 0.0022253934</f>
        <v>0</v>
      </c>
      <c r="H211" s="17">
        <f>D211 * 0.0210617593</f>
        <v>0</v>
      </c>
    </row>
    <row r="212" spans="1:8" ht="15" thickBot="1" x14ac:dyDescent="0.35">
      <c r="A212" s="129"/>
      <c r="B212" s="157" t="s">
        <v>487</v>
      </c>
      <c r="C212" s="127"/>
      <c r="D212" s="127"/>
      <c r="E212" s="127"/>
      <c r="F212" s="127"/>
      <c r="G212" s="127"/>
      <c r="H212" s="127"/>
    </row>
    <row r="213" spans="1:8" x14ac:dyDescent="0.3">
      <c r="A213" s="129"/>
      <c r="B213" s="23" t="s">
        <v>478</v>
      </c>
      <c r="C213" s="13" t="s">
        <v>325</v>
      </c>
      <c r="D213" s="15"/>
      <c r="E213" s="16">
        <f t="shared" ref="E213:E221" si="3">F213 + G213 + H213</f>
        <v>0</v>
      </c>
      <c r="F213" s="17">
        <f>D213 * 0.3381454512</f>
        <v>0</v>
      </c>
      <c r="G213" s="17">
        <f>D213 * 0.000505136</f>
        <v>0</v>
      </c>
      <c r="H213" s="17">
        <f>D213 * 0.004780751</f>
        <v>0</v>
      </c>
    </row>
    <row r="214" spans="1:8" x14ac:dyDescent="0.3">
      <c r="A214" s="129"/>
      <c r="B214" s="23" t="s">
        <v>479</v>
      </c>
      <c r="C214" s="13" t="s">
        <v>325</v>
      </c>
      <c r="D214" s="19"/>
      <c r="E214" s="16">
        <f t="shared" si="3"/>
        <v>0</v>
      </c>
      <c r="F214" s="17">
        <f>D214 * 0.3875975527</f>
        <v>0</v>
      </c>
      <c r="G214" s="17">
        <f>D214 * 0.0005790096</f>
        <v>0</v>
      </c>
      <c r="H214" s="17">
        <f>D214 * 0.0054799123</f>
        <v>0</v>
      </c>
    </row>
    <row r="215" spans="1:8" x14ac:dyDescent="0.3">
      <c r="A215" s="129"/>
      <c r="B215" s="23" t="s">
        <v>480</v>
      </c>
      <c r="C215" s="13" t="s">
        <v>325</v>
      </c>
      <c r="D215" s="19"/>
      <c r="E215" s="16">
        <f t="shared" si="3"/>
        <v>0</v>
      </c>
      <c r="F215" s="17">
        <f>D215 * 0.4736709403</f>
        <v>0</v>
      </c>
      <c r="G215" s="17">
        <f>D215 * 0.0007075897</f>
        <v>0</v>
      </c>
      <c r="H215" s="17">
        <f>D215 * 0.0066968307</f>
        <v>0</v>
      </c>
    </row>
    <row r="216" spans="1:8" x14ac:dyDescent="0.3">
      <c r="A216" s="129"/>
      <c r="B216" s="23" t="s">
        <v>481</v>
      </c>
      <c r="C216" s="13" t="s">
        <v>325</v>
      </c>
      <c r="D216" s="19"/>
      <c r="E216" s="16">
        <f t="shared" si="3"/>
        <v>0</v>
      </c>
      <c r="F216" s="17">
        <f>D216 * 0.5616154884</f>
        <v>0</v>
      </c>
      <c r="G216" s="17">
        <f>D216 * 0.0008389649</f>
        <v>0</v>
      </c>
      <c r="H216" s="17">
        <f>D216 * 0.0079402039</f>
        <v>0</v>
      </c>
    </row>
    <row r="217" spans="1:8" x14ac:dyDescent="0.3">
      <c r="A217" s="129"/>
      <c r="B217" s="23" t="s">
        <v>482</v>
      </c>
      <c r="C217" s="13" t="s">
        <v>325</v>
      </c>
      <c r="D217" s="19"/>
      <c r="E217" s="16">
        <f t="shared" si="3"/>
        <v>0</v>
      </c>
      <c r="F217" s="17">
        <f>D217 * 0.638333073</f>
        <v>0</v>
      </c>
      <c r="G217" s="17">
        <f>D217 * 0.0009535689</f>
        <v>0</v>
      </c>
      <c r="H217" s="17">
        <f>D217 * 0.0090248486</f>
        <v>0</v>
      </c>
    </row>
    <row r="218" spans="1:8" x14ac:dyDescent="0.3">
      <c r="A218" s="129"/>
      <c r="B218" s="23" t="s">
        <v>483</v>
      </c>
      <c r="C218" s="13" t="s">
        <v>325</v>
      </c>
      <c r="D218" s="19"/>
      <c r="E218" s="16">
        <f t="shared" si="3"/>
        <v>0</v>
      </c>
      <c r="F218" s="17">
        <f>D218 * 0.8647435055</f>
        <v>0</v>
      </c>
      <c r="G218" s="17">
        <f>D218 * 0.0012917904</f>
        <v>0</v>
      </c>
      <c r="H218" s="17">
        <f>D218 * 0.0122258732</f>
        <v>0</v>
      </c>
    </row>
    <row r="219" spans="1:8" x14ac:dyDescent="0.3">
      <c r="A219" s="129"/>
      <c r="B219" s="23" t="s">
        <v>484</v>
      </c>
      <c r="C219" s="13" t="s">
        <v>325</v>
      </c>
      <c r="D219" s="19"/>
      <c r="E219" s="16">
        <f t="shared" si="3"/>
        <v>0</v>
      </c>
      <c r="F219" s="17">
        <f>D219 * 1.1510310772</f>
        <v>0</v>
      </c>
      <c r="G219" s="17">
        <f>D219 * 0.0017194588</f>
        <v>0</v>
      </c>
      <c r="H219" s="17">
        <f>D219 * 0.0162734498</f>
        <v>0</v>
      </c>
    </row>
    <row r="220" spans="1:8" x14ac:dyDescent="0.3">
      <c r="A220" s="129"/>
      <c r="B220" s="23" t="s">
        <v>485</v>
      </c>
      <c r="C220" s="13" t="s">
        <v>325</v>
      </c>
      <c r="D220" s="19"/>
      <c r="E220" s="16">
        <f t="shared" si="3"/>
        <v>0</v>
      </c>
      <c r="F220" s="17">
        <f>D220 * 1.3290586428</f>
        <v>0</v>
      </c>
      <c r="G220" s="17">
        <f>D220 * 0.0019854039</f>
        <v>0</v>
      </c>
      <c r="H220" s="17">
        <f>D220 * 0.0187904302</f>
        <v>0</v>
      </c>
    </row>
    <row r="221" spans="1:8" ht="15" thickBot="1" x14ac:dyDescent="0.35">
      <c r="A221" s="129"/>
      <c r="B221" s="23" t="s">
        <v>486</v>
      </c>
      <c r="C221" s="13" t="s">
        <v>325</v>
      </c>
      <c r="D221" s="22"/>
      <c r="E221" s="16">
        <f t="shared" si="3"/>
        <v>0</v>
      </c>
      <c r="F221" s="17">
        <f>D221 * 1.4001627456</f>
        <v>0</v>
      </c>
      <c r="G221" s="17">
        <f>D221 * 0.0020916223</f>
        <v>0</v>
      </c>
      <c r="H221" s="17">
        <f>D221 * 0.0197957107</f>
        <v>0</v>
      </c>
    </row>
    <row r="222" spans="1:8" ht="15" thickBot="1" x14ac:dyDescent="0.35">
      <c r="A222" s="129"/>
      <c r="B222" s="156" t="s">
        <v>488</v>
      </c>
      <c r="C222" s="127"/>
      <c r="D222" s="127"/>
      <c r="E222" s="127"/>
      <c r="F222" s="127"/>
      <c r="G222" s="127"/>
      <c r="H222" s="127"/>
    </row>
    <row r="223" spans="1:8" x14ac:dyDescent="0.3">
      <c r="A223" s="139"/>
      <c r="B223" s="13" t="s">
        <v>478</v>
      </c>
      <c r="C223" s="23" t="s">
        <v>325</v>
      </c>
      <c r="D223" s="15"/>
      <c r="E223" s="16">
        <f>F223 + G223 + H223</f>
        <v>0</v>
      </c>
      <c r="F223" s="17">
        <f>D223 * 0.0356983527</f>
        <v>0</v>
      </c>
      <c r="G223" s="17">
        <f>D223 * 0.0009605647</f>
        <v>0</v>
      </c>
      <c r="H223" s="17">
        <f>D223 * 0.0000784807</f>
        <v>0</v>
      </c>
    </row>
    <row r="224" spans="1:8" x14ac:dyDescent="0.3">
      <c r="A224" s="139"/>
      <c r="B224" s="13" t="s">
        <v>479</v>
      </c>
      <c r="C224" s="23" t="s">
        <v>325</v>
      </c>
      <c r="D224" s="19"/>
      <c r="E224" s="16">
        <f>F224 + G224 + H224</f>
        <v>0</v>
      </c>
      <c r="F224" s="17">
        <f>D224 * 0.0409026867</f>
        <v>0</v>
      </c>
      <c r="G224" s="17">
        <f>D224 * 0.001100602</f>
        <v>0</v>
      </c>
      <c r="H224" s="17">
        <f>D224 * 0.0000899221</f>
        <v>0</v>
      </c>
    </row>
    <row r="225" spans="1:8" x14ac:dyDescent="0.3">
      <c r="A225" s="139"/>
      <c r="B225" s="13" t="s">
        <v>480</v>
      </c>
      <c r="C225" s="23" t="s">
        <v>325</v>
      </c>
      <c r="D225" s="19"/>
      <c r="E225" s="16">
        <f>F225 + G225 + H225</f>
        <v>0</v>
      </c>
      <c r="F225" s="17">
        <f>D225 * 0.0500082602</f>
        <v>0</v>
      </c>
      <c r="G225" s="17">
        <f>D225 * 0.0013456131</f>
        <v>0</v>
      </c>
      <c r="H225" s="17">
        <f>D225 * 0.0001099401</f>
        <v>0</v>
      </c>
    </row>
    <row r="226" spans="1:8" x14ac:dyDescent="0.3">
      <c r="A226" s="139"/>
      <c r="B226" s="13" t="s">
        <v>481</v>
      </c>
      <c r="C226" s="23" t="s">
        <v>325</v>
      </c>
      <c r="D226" s="19"/>
      <c r="E226" s="16">
        <f>F226 + G226 + H226</f>
        <v>0</v>
      </c>
      <c r="F226" s="17">
        <f>D226 * 0.059298841</f>
        <v>0</v>
      </c>
      <c r="G226" s="17">
        <f>D226 * 0.0015956023</f>
        <v>0</v>
      </c>
      <c r="H226" s="17">
        <f>D226 * 0.0001303649</f>
        <v>0</v>
      </c>
    </row>
    <row r="227" spans="1:8" ht="15" thickBot="1" x14ac:dyDescent="0.35">
      <c r="A227" s="139"/>
      <c r="B227" s="13" t="s">
        <v>482</v>
      </c>
      <c r="C227" s="23" t="s">
        <v>325</v>
      </c>
      <c r="D227" s="22"/>
      <c r="E227" s="44">
        <f>F227 + G227 + H227</f>
        <v>0</v>
      </c>
      <c r="F227" s="45">
        <f>D227 * 0.0673828528</f>
        <v>0</v>
      </c>
      <c r="G227" s="45">
        <f>D227 * 0.0018131254</f>
        <v>0</v>
      </c>
      <c r="H227" s="45">
        <f>D227 * 0.0001481371</f>
        <v>0</v>
      </c>
    </row>
    <row r="228" spans="1:8" x14ac:dyDescent="0.3">
      <c r="B228" s="26"/>
      <c r="C228" s="26"/>
      <c r="D228" s="27" t="s">
        <v>39</v>
      </c>
      <c r="E228" s="28">
        <f>SUM(E203:E211,E213:E221,E223:E227)</f>
        <v>0</v>
      </c>
      <c r="F228" s="29">
        <f>SUM(F203:F211,F213:F221,F223:F227)</f>
        <v>0</v>
      </c>
      <c r="G228" s="29">
        <f>SUM(G203:G211,G213:G221,G223:G227)</f>
        <v>0</v>
      </c>
      <c r="H228" s="29">
        <f>SUM(H203:H211,H213:H221,H223:H227)</f>
        <v>0</v>
      </c>
    </row>
    <row r="230" spans="1:8" ht="15" thickBot="1" x14ac:dyDescent="0.35">
      <c r="A230" s="111" t="s">
        <v>476</v>
      </c>
      <c r="B230" s="111"/>
      <c r="C230" s="111"/>
      <c r="D230" s="111"/>
      <c r="E230" s="111"/>
      <c r="F230" s="111"/>
      <c r="G230" s="111"/>
      <c r="H230" s="111"/>
    </row>
    <row r="231" spans="1:8" ht="15" thickBot="1" x14ac:dyDescent="0.35">
      <c r="A231" s="155" t="s">
        <v>472</v>
      </c>
      <c r="B231" s="112"/>
      <c r="C231" s="39" t="s">
        <v>19</v>
      </c>
      <c r="D231" s="11" t="s">
        <v>20</v>
      </c>
      <c r="E231" s="32" t="s">
        <v>12</v>
      </c>
      <c r="F231" s="32" t="s">
        <v>13</v>
      </c>
      <c r="G231" s="32" t="s">
        <v>14</v>
      </c>
      <c r="H231" s="32" t="s">
        <v>15</v>
      </c>
    </row>
    <row r="232" spans="1:8" ht="15" thickBot="1" x14ac:dyDescent="0.35">
      <c r="A232" s="129" t="s">
        <v>18</v>
      </c>
      <c r="B232" s="156" t="s">
        <v>477</v>
      </c>
      <c r="C232" s="127"/>
      <c r="D232" s="127"/>
      <c r="E232" s="127"/>
      <c r="F232" s="127"/>
      <c r="G232" s="127"/>
      <c r="H232" s="127"/>
    </row>
    <row r="233" spans="1:8" x14ac:dyDescent="0.3">
      <c r="A233" s="139"/>
      <c r="B233" s="13" t="s">
        <v>478</v>
      </c>
      <c r="C233" s="23" t="s">
        <v>325</v>
      </c>
      <c r="D233" s="15"/>
      <c r="E233" s="16">
        <f t="shared" ref="E233:E241" si="4">F233 + G233 + H233</f>
        <v>0</v>
      </c>
      <c r="F233" s="17">
        <f>D233 * 0.4186053569</f>
        <v>0</v>
      </c>
      <c r="G233" s="17">
        <f>D233 * 0.0006253304</f>
        <v>0</v>
      </c>
      <c r="H233" s="17">
        <f>D233 * 0.0059183052</f>
        <v>0</v>
      </c>
    </row>
    <row r="234" spans="1:8" x14ac:dyDescent="0.3">
      <c r="A234" s="139"/>
      <c r="B234" s="13" t="s">
        <v>479</v>
      </c>
      <c r="C234" s="23" t="s">
        <v>325</v>
      </c>
      <c r="D234" s="19"/>
      <c r="E234" s="16">
        <f t="shared" si="4"/>
        <v>0</v>
      </c>
      <c r="F234" s="17">
        <f>D234 * 0.4739382489</f>
        <v>0</v>
      </c>
      <c r="G234" s="17">
        <f>D234 * 0.000707989</f>
        <v>0</v>
      </c>
      <c r="H234" s="17">
        <f>D234 * 0.00670061</f>
        <v>0</v>
      </c>
    </row>
    <row r="235" spans="1:8" x14ac:dyDescent="0.3">
      <c r="A235" s="139"/>
      <c r="B235" s="13" t="s">
        <v>480</v>
      </c>
      <c r="C235" s="23" t="s">
        <v>325</v>
      </c>
      <c r="D235" s="19"/>
      <c r="E235" s="16">
        <f t="shared" si="4"/>
        <v>0</v>
      </c>
      <c r="F235" s="17">
        <f>D235 * 0.5795251685</f>
        <v>0</v>
      </c>
      <c r="G235" s="17">
        <f>D235 * 0.0008657192</f>
        <v>0</v>
      </c>
      <c r="H235" s="17">
        <f>D235 * 0.0081934136</f>
        <v>0</v>
      </c>
    </row>
    <row r="236" spans="1:8" x14ac:dyDescent="0.3">
      <c r="A236" s="139"/>
      <c r="B236" s="13" t="s">
        <v>481</v>
      </c>
      <c r="C236" s="23" t="s">
        <v>325</v>
      </c>
      <c r="D236" s="19"/>
      <c r="E236" s="16">
        <f t="shared" si="4"/>
        <v>0</v>
      </c>
      <c r="F236" s="17">
        <f>D236 * 0.6872505572</f>
        <v>0</v>
      </c>
      <c r="G236" s="17">
        <f>D236 * 0.0010266439</f>
        <v>0</v>
      </c>
      <c r="H236" s="17">
        <f>D236 * 0.0097164513</f>
        <v>0</v>
      </c>
    </row>
    <row r="237" spans="1:8" x14ac:dyDescent="0.3">
      <c r="A237" s="139"/>
      <c r="B237" s="13" t="s">
        <v>482</v>
      </c>
      <c r="C237" s="23" t="s">
        <v>325</v>
      </c>
      <c r="D237" s="19"/>
      <c r="E237" s="16">
        <f t="shared" si="4"/>
        <v>0</v>
      </c>
      <c r="F237" s="17">
        <f>D237 * 0.7810758959</f>
        <v>0</v>
      </c>
      <c r="G237" s="17">
        <f>D237 * 0.0011668042</f>
        <v>0</v>
      </c>
      <c r="H237" s="17">
        <f>D237 * 0.011042968</f>
        <v>0</v>
      </c>
    </row>
    <row r="238" spans="1:8" x14ac:dyDescent="0.3">
      <c r="A238" s="139"/>
      <c r="B238" s="13" t="s">
        <v>483</v>
      </c>
      <c r="C238" s="23" t="s">
        <v>325</v>
      </c>
      <c r="D238" s="19"/>
      <c r="E238" s="16">
        <f t="shared" si="4"/>
        <v>0</v>
      </c>
      <c r="F238" s="17">
        <f>D238 * 0.9489457325</f>
        <v>0</v>
      </c>
      <c r="G238" s="17">
        <f>D238 * 0.0014175752</f>
        <v>0</v>
      </c>
      <c r="H238" s="17">
        <f>D238 * 0.0134163369</f>
        <v>0</v>
      </c>
    </row>
    <row r="239" spans="1:8" x14ac:dyDescent="0.3">
      <c r="A239" s="139"/>
      <c r="B239" s="13" t="s">
        <v>484</v>
      </c>
      <c r="C239" s="23" t="s">
        <v>325</v>
      </c>
      <c r="D239" s="19"/>
      <c r="E239" s="16">
        <f t="shared" si="4"/>
        <v>0</v>
      </c>
      <c r="F239" s="17">
        <f>D239 * 1.2633007132</f>
        <v>0</v>
      </c>
      <c r="G239" s="17">
        <f>D239 * 0.001887172</f>
        <v>0</v>
      </c>
      <c r="H239" s="17">
        <f>D239 * 0.0178607347</f>
        <v>0</v>
      </c>
    </row>
    <row r="240" spans="1:8" x14ac:dyDescent="0.3">
      <c r="A240" s="139"/>
      <c r="B240" s="13" t="s">
        <v>485</v>
      </c>
      <c r="C240" s="23" t="s">
        <v>325</v>
      </c>
      <c r="D240" s="19"/>
      <c r="E240" s="16">
        <f t="shared" si="4"/>
        <v>0</v>
      </c>
      <c r="F240" s="17">
        <f>D240 * 1.4105877832</f>
        <v>0</v>
      </c>
      <c r="G240" s="17">
        <f>D240 * 0.0021071956</f>
        <v>0</v>
      </c>
      <c r="H240" s="17">
        <f>D240 * 0.0199431014</f>
        <v>0</v>
      </c>
    </row>
    <row r="241" spans="1:8" ht="15" thickBot="1" x14ac:dyDescent="0.35">
      <c r="A241" s="139"/>
      <c r="B241" s="13" t="s">
        <v>486</v>
      </c>
      <c r="C241" s="23" t="s">
        <v>325</v>
      </c>
      <c r="D241" s="22"/>
      <c r="E241" s="16">
        <f t="shared" si="4"/>
        <v>0</v>
      </c>
      <c r="F241" s="17">
        <f>D241 * 1.4862361331</f>
        <v>0</v>
      </c>
      <c r="G241" s="17">
        <f>D241 * 0.0022202023</f>
        <v>0</v>
      </c>
      <c r="H241" s="17">
        <f>D241 * 0.0210126291</f>
        <v>0</v>
      </c>
    </row>
    <row r="242" spans="1:8" ht="15" thickBot="1" x14ac:dyDescent="0.35">
      <c r="A242" s="129"/>
      <c r="B242" s="159" t="s">
        <v>487</v>
      </c>
      <c r="C242" s="127"/>
      <c r="D242" s="127"/>
      <c r="E242" s="127"/>
      <c r="F242" s="127"/>
      <c r="G242" s="127"/>
      <c r="H242" s="127"/>
    </row>
    <row r="243" spans="1:8" x14ac:dyDescent="0.3">
      <c r="A243" s="139"/>
      <c r="B243" s="13" t="s">
        <v>478</v>
      </c>
      <c r="C243" s="23" t="s">
        <v>325</v>
      </c>
      <c r="D243" s="15"/>
      <c r="E243" s="16">
        <f t="shared" ref="E243:E251" si="5">F243 + G243 + H243</f>
        <v>0</v>
      </c>
      <c r="F243" s="17">
        <f>D243 * 0.3298588828</f>
        <v>0</v>
      </c>
      <c r="G243" s="17">
        <f>D243 * 0.0004927571</f>
        <v>0</v>
      </c>
      <c r="H243" s="17">
        <f>D243 * 0.0046635943</f>
        <v>0</v>
      </c>
    </row>
    <row r="244" spans="1:8" x14ac:dyDescent="0.3">
      <c r="A244" s="139"/>
      <c r="B244" s="13" t="s">
        <v>479</v>
      </c>
      <c r="C244" s="23" t="s">
        <v>325</v>
      </c>
      <c r="D244" s="19"/>
      <c r="E244" s="16">
        <f t="shared" si="5"/>
        <v>0</v>
      </c>
      <c r="F244" s="17">
        <f>D244 * 0.377974441</f>
        <v>0</v>
      </c>
      <c r="G244" s="17">
        <f>D244 * 0.0005646342</f>
        <v>0</v>
      </c>
      <c r="H244" s="17">
        <f>D244 * 0.0053438593</f>
        <v>0</v>
      </c>
    </row>
    <row r="245" spans="1:8" x14ac:dyDescent="0.3">
      <c r="A245" s="139"/>
      <c r="B245" s="13" t="s">
        <v>480</v>
      </c>
      <c r="C245" s="23" t="s">
        <v>325</v>
      </c>
      <c r="D245" s="19"/>
      <c r="E245" s="16">
        <f t="shared" si="5"/>
        <v>0</v>
      </c>
      <c r="F245" s="17">
        <f>D245 * 0.462176668</f>
        <v>0</v>
      </c>
      <c r="G245" s="17">
        <f>D245 * 0.000690419</f>
        <v>0</v>
      </c>
      <c r="H245" s="17">
        <f>D245 * 0.006534323</f>
        <v>0</v>
      </c>
    </row>
    <row r="246" spans="1:8" x14ac:dyDescent="0.3">
      <c r="A246" s="139"/>
      <c r="B246" s="13" t="s">
        <v>481</v>
      </c>
      <c r="C246" s="23" t="s">
        <v>325</v>
      </c>
      <c r="D246" s="19"/>
      <c r="E246" s="16">
        <f t="shared" si="5"/>
        <v>0</v>
      </c>
      <c r="F246" s="17">
        <f>D246 * 0.5479827469</f>
        <v>0</v>
      </c>
      <c r="G246" s="17">
        <f>D246 * 0.0008185998</f>
        <v>0</v>
      </c>
      <c r="H246" s="17">
        <f>D246 * 0.0077474622</f>
        <v>0</v>
      </c>
    </row>
    <row r="247" spans="1:8" x14ac:dyDescent="0.3">
      <c r="A247" s="139"/>
      <c r="B247" s="13" t="s">
        <v>482</v>
      </c>
      <c r="C247" s="23" t="s">
        <v>325</v>
      </c>
      <c r="D247" s="19"/>
      <c r="E247" s="16">
        <f t="shared" si="5"/>
        <v>0</v>
      </c>
      <c r="F247" s="17">
        <f>D247 * 0.6228291709</f>
        <v>0</v>
      </c>
      <c r="G247" s="17">
        <f>D247 * 0.0009304085</f>
        <v>0</v>
      </c>
      <c r="H247" s="17">
        <f>D247 * 0.0088056521</f>
        <v>0</v>
      </c>
    </row>
    <row r="248" spans="1:8" x14ac:dyDescent="0.3">
      <c r="A248" s="139"/>
      <c r="B248" s="13" t="s">
        <v>483</v>
      </c>
      <c r="C248" s="23" t="s">
        <v>325</v>
      </c>
      <c r="D248" s="19"/>
      <c r="E248" s="16">
        <f t="shared" si="5"/>
        <v>0</v>
      </c>
      <c r="F248" s="17">
        <f>D248 * 0.8626050363</f>
        <v>0</v>
      </c>
      <c r="G248" s="17">
        <f>D248 * 0.0012885958</f>
        <v>0</v>
      </c>
      <c r="H248" s="17">
        <f>D248 * 0.0121956392</f>
        <v>0</v>
      </c>
    </row>
    <row r="249" spans="1:8" x14ac:dyDescent="0.3">
      <c r="A249" s="139"/>
      <c r="B249" s="13" t="s">
        <v>484</v>
      </c>
      <c r="C249" s="23" t="s">
        <v>325</v>
      </c>
      <c r="D249" s="19"/>
      <c r="E249" s="16">
        <f t="shared" si="5"/>
        <v>0</v>
      </c>
      <c r="F249" s="17">
        <f>D249 * 1.1483579906</f>
        <v>0</v>
      </c>
      <c r="G249" s="17">
        <f>D249 * 0.0017154657</f>
        <v>0</v>
      </c>
      <c r="H249" s="17">
        <f>D249 * 0.0162356573</f>
        <v>0</v>
      </c>
    </row>
    <row r="250" spans="1:8" x14ac:dyDescent="0.3">
      <c r="A250" s="139"/>
      <c r="B250" s="13" t="s">
        <v>485</v>
      </c>
      <c r="C250" s="23" t="s">
        <v>325</v>
      </c>
      <c r="D250" s="19"/>
      <c r="E250" s="16">
        <f t="shared" si="5"/>
        <v>0</v>
      </c>
      <c r="F250" s="17">
        <f>D250 * 1.3258509389</f>
        <v>0</v>
      </c>
      <c r="G250" s="17">
        <f>D250 * 0.0019806121</f>
        <v>0</v>
      </c>
      <c r="H250" s="17">
        <f>D250 * 0.0187450792</f>
        <v>0</v>
      </c>
    </row>
    <row r="251" spans="1:8" ht="15" thickBot="1" x14ac:dyDescent="0.35">
      <c r="A251" s="139"/>
      <c r="B251" s="13" t="s">
        <v>486</v>
      </c>
      <c r="C251" s="23" t="s">
        <v>325</v>
      </c>
      <c r="D251" s="22"/>
      <c r="E251" s="16">
        <f t="shared" si="5"/>
        <v>0</v>
      </c>
      <c r="F251" s="17">
        <f>D251 * 1.3969550417</f>
        <v>0</v>
      </c>
      <c r="G251" s="17">
        <f>D251 * 0.0020868305</f>
        <v>0</v>
      </c>
      <c r="H251" s="17">
        <f>D251 * 0.0197503597</f>
        <v>0</v>
      </c>
    </row>
    <row r="252" spans="1:8" ht="15" thickBot="1" x14ac:dyDescent="0.35">
      <c r="A252" s="129"/>
      <c r="B252" s="159" t="s">
        <v>488</v>
      </c>
      <c r="C252" s="127"/>
      <c r="D252" s="127"/>
      <c r="E252" s="127"/>
      <c r="F252" s="127"/>
      <c r="G252" s="127"/>
      <c r="H252" s="127"/>
    </row>
    <row r="253" spans="1:8" x14ac:dyDescent="0.3">
      <c r="A253" s="139"/>
      <c r="B253" s="13" t="s">
        <v>478</v>
      </c>
      <c r="C253" s="23" t="s">
        <v>325</v>
      </c>
      <c r="D253" s="15"/>
      <c r="E253" s="16">
        <f>F253 + G253 + H253</f>
        <v>0</v>
      </c>
      <c r="F253" s="17">
        <f>D253 * 0.0349261486</f>
        <v>0</v>
      </c>
      <c r="G253" s="17">
        <f>D253 * 0.0009397864</f>
        <v>0</v>
      </c>
      <c r="H253" s="17">
        <f>D253 * 0.000076783</f>
        <v>0</v>
      </c>
    </row>
    <row r="254" spans="1:8" x14ac:dyDescent="0.3">
      <c r="A254" s="139"/>
      <c r="B254" s="13" t="s">
        <v>479</v>
      </c>
      <c r="C254" s="23" t="s">
        <v>325</v>
      </c>
      <c r="D254" s="19"/>
      <c r="E254" s="16">
        <f>F254 + G254 + H254</f>
        <v>0</v>
      </c>
      <c r="F254" s="17">
        <f>D254 * 0.0400098257</f>
        <v>0</v>
      </c>
      <c r="G254" s="17">
        <f>D254 * 0.001076577</f>
        <v>0</v>
      </c>
      <c r="H254" s="17">
        <f>D254 * 0.0000879592</f>
        <v>0</v>
      </c>
    </row>
    <row r="255" spans="1:8" x14ac:dyDescent="0.3">
      <c r="A255" s="139"/>
      <c r="B255" s="13" t="s">
        <v>480</v>
      </c>
      <c r="C255" s="23" t="s">
        <v>325</v>
      </c>
      <c r="D255" s="19"/>
      <c r="E255" s="16">
        <f>F255 + G255 + H255</f>
        <v>0</v>
      </c>
      <c r="F255" s="17">
        <f>D255 * 0.0489223482</f>
        <v>0</v>
      </c>
      <c r="G255" s="17">
        <f>D255 * 0.0013163935</f>
        <v>0</v>
      </c>
      <c r="H255" s="17">
        <f>D255 * 0.0001075528</f>
        <v>0</v>
      </c>
    </row>
    <row r="256" spans="1:8" x14ac:dyDescent="0.3">
      <c r="A256" s="139"/>
      <c r="B256" s="13" t="s">
        <v>481</v>
      </c>
      <c r="C256" s="23" t="s">
        <v>325</v>
      </c>
      <c r="D256" s="19"/>
      <c r="E256" s="16">
        <f>F256 + G256 + H256</f>
        <v>0</v>
      </c>
      <c r="F256" s="17">
        <f>D256 * 0.0659108387</f>
        <v>0</v>
      </c>
      <c r="G256" s="17">
        <f>D256 * 0.0017735167</f>
        <v>0</v>
      </c>
      <c r="H256" s="17">
        <f>D256 * 0.000144901</f>
        <v>0</v>
      </c>
    </row>
    <row r="257" spans="1:8" ht="15" thickBot="1" x14ac:dyDescent="0.35">
      <c r="A257" s="139"/>
      <c r="B257" s="13" t="s">
        <v>482</v>
      </c>
      <c r="C257" s="23" t="s">
        <v>325</v>
      </c>
      <c r="D257" s="22"/>
      <c r="E257" s="44">
        <f>F257 + G257 + H257</f>
        <v>0</v>
      </c>
      <c r="F257" s="45">
        <f>D257 * 0.0739546316</f>
        <v>0</v>
      </c>
      <c r="G257" s="45">
        <f>D257 * 0.0019899576</f>
        <v>0</v>
      </c>
      <c r="H257" s="45">
        <f>D257 * 0.0001625848</f>
        <v>0</v>
      </c>
    </row>
    <row r="258" spans="1:8" x14ac:dyDescent="0.3">
      <c r="B258" s="26"/>
      <c r="C258" s="26"/>
      <c r="D258" s="27" t="s">
        <v>39</v>
      </c>
      <c r="E258" s="28">
        <f>SUM(E233:E241,E243:E251,E253:E257)</f>
        <v>0</v>
      </c>
      <c r="F258" s="29">
        <f>SUM(F233:F241,F243:F251,F253:F257)</f>
        <v>0</v>
      </c>
      <c r="G258" s="29">
        <f>SUM(G233:G241,G243:G251,G253:G257)</f>
        <v>0</v>
      </c>
      <c r="H258" s="29">
        <f>SUM(H233:H241,H243:H251,H253:H257)</f>
        <v>0</v>
      </c>
    </row>
    <row r="260" spans="1:8" ht="15" thickBot="1" x14ac:dyDescent="0.35">
      <c r="A260" s="111" t="s">
        <v>473</v>
      </c>
      <c r="B260" s="111"/>
      <c r="C260" s="111"/>
      <c r="D260" s="111"/>
      <c r="E260" s="111"/>
      <c r="F260" s="111"/>
      <c r="G260" s="111"/>
      <c r="H260" s="111"/>
    </row>
    <row r="261" spans="1:8" ht="15" thickBot="1" x14ac:dyDescent="0.35">
      <c r="A261" s="128" t="s">
        <v>489</v>
      </c>
      <c r="B261" s="137"/>
      <c r="C261" s="39" t="s">
        <v>19</v>
      </c>
      <c r="D261" s="11" t="s">
        <v>20</v>
      </c>
      <c r="E261" s="32" t="s">
        <v>12</v>
      </c>
      <c r="F261" s="32" t="s">
        <v>13</v>
      </c>
      <c r="G261" s="32" t="s">
        <v>14</v>
      </c>
      <c r="H261" s="32" t="s">
        <v>15</v>
      </c>
    </row>
    <row r="262" spans="1:8" x14ac:dyDescent="0.3">
      <c r="A262" s="139" t="s">
        <v>18</v>
      </c>
      <c r="B262" s="13" t="s">
        <v>490</v>
      </c>
      <c r="C262" s="23" t="s">
        <v>325</v>
      </c>
      <c r="D262" s="42"/>
      <c r="E262" s="16">
        <f>F262 + G262 + H262</f>
        <v>0</v>
      </c>
      <c r="F262" s="17">
        <f>D262 * 0.4748738292</f>
        <v>0</v>
      </c>
      <c r="G262" s="17">
        <f>D262 * 0.0007093866</f>
        <v>0</v>
      </c>
      <c r="H262" s="17">
        <f>D262 * 0.0067138373</f>
        <v>0</v>
      </c>
    </row>
    <row r="263" spans="1:8" ht="15" thickBot="1" x14ac:dyDescent="0.35">
      <c r="A263" s="139"/>
      <c r="B263" s="13" t="s">
        <v>491</v>
      </c>
      <c r="C263" s="23" t="s">
        <v>325</v>
      </c>
      <c r="D263" s="22"/>
      <c r="E263" s="44">
        <f>F263 + G263 + H263</f>
        <v>0</v>
      </c>
      <c r="F263" s="45">
        <f>D263 * 0.3827859969</f>
        <v>0</v>
      </c>
      <c r="G263" s="45">
        <f>D263 * 0.0005718219</f>
        <v>0</v>
      </c>
      <c r="H263" s="45">
        <f>D263 * 0.0054118858</f>
        <v>0</v>
      </c>
    </row>
    <row r="264" spans="1:8" x14ac:dyDescent="0.3">
      <c r="B264" s="26"/>
      <c r="C264" s="26"/>
      <c r="D264" s="27" t="s">
        <v>39</v>
      </c>
      <c r="E264" s="46">
        <f>SUM(E262:E263)</f>
        <v>0</v>
      </c>
      <c r="F264" s="47">
        <f>SUM(F262:F263)</f>
        <v>0</v>
      </c>
      <c r="G264" s="47">
        <f>SUM(G262:G263)</f>
        <v>0</v>
      </c>
      <c r="H264" s="47">
        <f>SUM(H262:H263)</f>
        <v>0</v>
      </c>
    </row>
    <row r="266" spans="1:8" ht="15" thickBot="1" x14ac:dyDescent="0.35">
      <c r="A266" s="111" t="s">
        <v>492</v>
      </c>
      <c r="B266" s="111"/>
      <c r="C266" s="111"/>
      <c r="D266" s="111"/>
      <c r="E266" s="111"/>
      <c r="F266" s="111"/>
      <c r="G266" s="111"/>
      <c r="H266" s="111"/>
    </row>
    <row r="267" spans="1:8" ht="15" thickBot="1" x14ac:dyDescent="0.35">
      <c r="A267" s="128" t="s">
        <v>493</v>
      </c>
      <c r="B267" s="112"/>
      <c r="C267" s="39" t="s">
        <v>19</v>
      </c>
      <c r="D267" s="11" t="s">
        <v>20</v>
      </c>
      <c r="E267" s="32" t="s">
        <v>12</v>
      </c>
      <c r="F267" s="32" t="s">
        <v>13</v>
      </c>
      <c r="G267" s="32" t="s">
        <v>14</v>
      </c>
      <c r="H267" s="32" t="s">
        <v>15</v>
      </c>
    </row>
    <row r="268" spans="1:8" ht="15" thickBot="1" x14ac:dyDescent="0.35">
      <c r="A268" s="129" t="s">
        <v>18</v>
      </c>
      <c r="B268" s="126" t="s">
        <v>494</v>
      </c>
      <c r="C268" s="127"/>
      <c r="D268" s="127"/>
      <c r="E268" s="127"/>
      <c r="F268" s="127"/>
      <c r="G268" s="127"/>
      <c r="H268" s="127"/>
    </row>
    <row r="269" spans="1:8" x14ac:dyDescent="0.3">
      <c r="A269" s="139"/>
      <c r="B269" s="13" t="s">
        <v>495</v>
      </c>
      <c r="C269" s="23" t="s">
        <v>460</v>
      </c>
      <c r="D269" s="15"/>
      <c r="E269" s="16">
        <f>F269 + G269 + H269</f>
        <v>0</v>
      </c>
      <c r="F269" s="17">
        <f>D269 * 4.46949</f>
        <v>0</v>
      </c>
      <c r="G269" s="17">
        <f>D269 * 0.00188</f>
        <v>0</v>
      </c>
      <c r="H269" s="17">
        <f>D269 * 0.02226</f>
        <v>0</v>
      </c>
    </row>
    <row r="270" spans="1:8" x14ac:dyDescent="0.3">
      <c r="A270" s="139"/>
      <c r="B270" s="13" t="s">
        <v>496</v>
      </c>
      <c r="C270" s="23" t="s">
        <v>460</v>
      </c>
      <c r="D270" s="19"/>
      <c r="E270" s="16">
        <f>F270 + G270 + H270</f>
        <v>0</v>
      </c>
      <c r="F270" s="17">
        <f>D270 * 2.2908</f>
        <v>0</v>
      </c>
      <c r="G270" s="17">
        <f>D270 * 0.00008</f>
        <v>0</v>
      </c>
      <c r="H270" s="17">
        <f>D270 * 0.01141</f>
        <v>0</v>
      </c>
    </row>
    <row r="271" spans="1:8" ht="15" thickBot="1" x14ac:dyDescent="0.35">
      <c r="A271" s="139"/>
      <c r="B271" s="13" t="s">
        <v>497</v>
      </c>
      <c r="C271" s="23" t="s">
        <v>460</v>
      </c>
      <c r="D271" s="22"/>
      <c r="E271" s="44">
        <f>F271 + G271 + H271</f>
        <v>0</v>
      </c>
      <c r="F271" s="45">
        <f>D271 * 1.01381</f>
        <v>0</v>
      </c>
      <c r="G271" s="45">
        <f>D271 * 0.00004</f>
        <v>0</v>
      </c>
      <c r="H271" s="45">
        <f>D271 * 0.00505</f>
        <v>0</v>
      </c>
    </row>
    <row r="272" spans="1:8" x14ac:dyDescent="0.3">
      <c r="B272" s="26"/>
      <c r="C272" s="26"/>
      <c r="D272" s="27" t="s">
        <v>39</v>
      </c>
      <c r="E272" s="28">
        <f>SUM(E269:E271)</f>
        <v>0</v>
      </c>
      <c r="F272" s="29">
        <f>SUM(F269:F271)</f>
        <v>0</v>
      </c>
      <c r="G272" s="29">
        <f>SUM(G269:G271)</f>
        <v>0</v>
      </c>
      <c r="H272" s="29">
        <f>SUM(H269:H271)</f>
        <v>0</v>
      </c>
    </row>
    <row r="274" spans="1:10" ht="15" thickBot="1" x14ac:dyDescent="0.35">
      <c r="A274" s="111" t="s">
        <v>492</v>
      </c>
      <c r="B274" s="111"/>
      <c r="C274" s="111"/>
      <c r="D274" s="111"/>
      <c r="E274" s="111"/>
      <c r="F274" s="111"/>
      <c r="G274" s="111"/>
      <c r="H274" s="111"/>
    </row>
    <row r="275" spans="1:10" ht="15" thickBot="1" x14ac:dyDescent="0.35">
      <c r="A275" s="128" t="s">
        <v>498</v>
      </c>
      <c r="B275" s="112"/>
      <c r="C275" s="39" t="s">
        <v>19</v>
      </c>
      <c r="D275" s="11" t="s">
        <v>20</v>
      </c>
      <c r="E275" s="32" t="s">
        <v>12</v>
      </c>
      <c r="F275" s="32" t="s">
        <v>13</v>
      </c>
      <c r="G275" s="32" t="s">
        <v>14</v>
      </c>
      <c r="H275" s="32" t="s">
        <v>15</v>
      </c>
    </row>
    <row r="276" spans="1:10" ht="15" thickBot="1" x14ac:dyDescent="0.35">
      <c r="A276" s="129" t="s">
        <v>18</v>
      </c>
      <c r="B276" s="126" t="s">
        <v>494</v>
      </c>
      <c r="C276" s="127"/>
      <c r="D276" s="127"/>
      <c r="E276" s="127"/>
      <c r="F276" s="127"/>
      <c r="G276" s="127"/>
      <c r="H276" s="127"/>
    </row>
    <row r="277" spans="1:10" x14ac:dyDescent="0.3">
      <c r="A277" s="139"/>
      <c r="B277" s="13" t="s">
        <v>495</v>
      </c>
      <c r="C277" s="23" t="s">
        <v>460</v>
      </c>
      <c r="D277" s="15"/>
      <c r="E277" s="16">
        <f>F277 + G277 + H277</f>
        <v>0</v>
      </c>
      <c r="F277" s="17">
        <f>D277 * 2.35236</f>
        <v>0</v>
      </c>
      <c r="G277" s="17">
        <f>D277 * 0.00188</f>
        <v>0</v>
      </c>
      <c r="H277" s="17">
        <f>D277 * 0.02226</f>
        <v>0</v>
      </c>
    </row>
    <row r="278" spans="1:10" x14ac:dyDescent="0.3">
      <c r="A278" s="139"/>
      <c r="B278" s="13" t="s">
        <v>496</v>
      </c>
      <c r="C278" s="23" t="s">
        <v>460</v>
      </c>
      <c r="D278" s="19"/>
      <c r="E278" s="16">
        <f>F278 + G278 + H278</f>
        <v>0</v>
      </c>
      <c r="F278" s="17">
        <f>D278 * 1.20568</f>
        <v>0</v>
      </c>
      <c r="G278" s="17">
        <f>D278 * 0.00008</f>
        <v>0</v>
      </c>
      <c r="H278" s="17">
        <f>D278 * 0.01141</f>
        <v>0</v>
      </c>
    </row>
    <row r="279" spans="1:10" ht="15" thickBot="1" x14ac:dyDescent="0.35">
      <c r="A279" s="139"/>
      <c r="B279" s="13" t="s">
        <v>497</v>
      </c>
      <c r="C279" s="23" t="s">
        <v>460</v>
      </c>
      <c r="D279" s="22"/>
      <c r="E279" s="44">
        <f>F279 + G279 + H279</f>
        <v>0</v>
      </c>
      <c r="F279" s="45">
        <f>D279 * 0.53358</f>
        <v>0</v>
      </c>
      <c r="G279" s="45">
        <f>D279 * 0.00004</f>
        <v>0</v>
      </c>
      <c r="H279" s="45">
        <f>D279 * 0.00505</f>
        <v>0</v>
      </c>
    </row>
    <row r="280" spans="1:10" x14ac:dyDescent="0.3">
      <c r="B280" s="26"/>
      <c r="C280" s="26"/>
      <c r="D280" s="27" t="s">
        <v>39</v>
      </c>
      <c r="E280" s="46">
        <f>SUM(E277:E279)</f>
        <v>0</v>
      </c>
      <c r="F280" s="47">
        <f>SUM(F277:F279)</f>
        <v>0</v>
      </c>
      <c r="G280" s="47">
        <f>SUM(G277:G279)</f>
        <v>0</v>
      </c>
      <c r="H280" s="47">
        <f>SUM(H277:H279)</f>
        <v>0</v>
      </c>
    </row>
    <row r="282" spans="1:10" ht="15" thickBot="1" x14ac:dyDescent="0.35">
      <c r="A282" s="111" t="s">
        <v>499</v>
      </c>
      <c r="B282" s="111"/>
      <c r="C282" s="111"/>
      <c r="D282" s="111"/>
      <c r="E282" s="111"/>
      <c r="F282" s="111"/>
      <c r="G282" s="111"/>
      <c r="H282" s="111"/>
      <c r="I282" s="111"/>
      <c r="J282" s="111"/>
    </row>
    <row r="283" spans="1:10" ht="15" thickBot="1" x14ac:dyDescent="0.35">
      <c r="A283" s="128"/>
      <c r="B283" s="112"/>
      <c r="C283" s="39" t="s">
        <v>19</v>
      </c>
      <c r="D283" s="11" t="s">
        <v>20</v>
      </c>
      <c r="E283" s="32" t="s">
        <v>12</v>
      </c>
      <c r="F283" s="32" t="s">
        <v>13</v>
      </c>
      <c r="G283" s="32" t="s">
        <v>14</v>
      </c>
      <c r="H283" s="32" t="s">
        <v>15</v>
      </c>
      <c r="I283" s="30" t="s">
        <v>309</v>
      </c>
      <c r="J283" s="30" t="s">
        <v>21</v>
      </c>
    </row>
    <row r="284" spans="1:10" ht="15" thickBot="1" x14ac:dyDescent="0.35">
      <c r="A284" s="129" t="s">
        <v>18</v>
      </c>
      <c r="B284" s="127" t="s">
        <v>500</v>
      </c>
      <c r="C284" s="127"/>
      <c r="D284" s="127"/>
      <c r="E284" s="127"/>
      <c r="F284" s="127"/>
      <c r="G284" s="127"/>
      <c r="H284" s="127"/>
      <c r="I284" s="127"/>
      <c r="J284" s="127"/>
    </row>
    <row r="285" spans="1:10" x14ac:dyDescent="0.3">
      <c r="A285" s="129"/>
      <c r="B285" s="13" t="s">
        <v>501</v>
      </c>
      <c r="C285" s="13" t="s">
        <v>460</v>
      </c>
      <c r="D285" s="15"/>
      <c r="E285" s="16">
        <f>F285 + G285 + H285</f>
        <v>0</v>
      </c>
      <c r="F285" s="17">
        <f>D285 * 0.0158509231</f>
        <v>0</v>
      </c>
      <c r="G285" s="17">
        <f>D285 * 0.0000402467</f>
        <v>0</v>
      </c>
      <c r="H285" s="17">
        <f>D285 * 0.0001088303</f>
        <v>0</v>
      </c>
      <c r="I285" s="13" t="s">
        <v>502</v>
      </c>
      <c r="J285" s="13" t="s">
        <v>58</v>
      </c>
    </row>
    <row r="286" spans="1:10" x14ac:dyDescent="0.3">
      <c r="A286" s="129"/>
      <c r="B286" s="13" t="s">
        <v>503</v>
      </c>
      <c r="C286" s="13" t="s">
        <v>460</v>
      </c>
      <c r="D286" s="19"/>
      <c r="E286" s="16">
        <f>F286 + G286 + H286</f>
        <v>0</v>
      </c>
      <c r="F286" s="17">
        <f>D286 * 0.0297204807</f>
        <v>0</v>
      </c>
      <c r="G286" s="17">
        <f>D286 * 0.0000754625</f>
        <v>0</v>
      </c>
      <c r="H286" s="17">
        <f>D286 * 0.0002040568</f>
        <v>0</v>
      </c>
      <c r="I286" s="13" t="s">
        <v>502</v>
      </c>
      <c r="J286" s="13" t="s">
        <v>58</v>
      </c>
    </row>
    <row r="287" spans="1:10" ht="15" thickBot="1" x14ac:dyDescent="0.35">
      <c r="A287" s="129"/>
      <c r="B287" s="13" t="s">
        <v>504</v>
      </c>
      <c r="C287" s="13" t="s">
        <v>460</v>
      </c>
      <c r="D287" s="22"/>
      <c r="E287" s="44">
        <f>F287 + G287 + H287</f>
        <v>0</v>
      </c>
      <c r="F287" s="45">
        <f>D287 * 0.0455714038</f>
        <v>0</v>
      </c>
      <c r="G287" s="45">
        <f>D287 * 0.0001157092</f>
        <v>0</v>
      </c>
      <c r="H287" s="45">
        <f>D287 * 0.000312887</f>
        <v>0</v>
      </c>
      <c r="I287" s="13" t="s">
        <v>502</v>
      </c>
      <c r="J287" s="13" t="s">
        <v>58</v>
      </c>
    </row>
    <row r="288" spans="1:10" x14ac:dyDescent="0.3">
      <c r="B288" s="26"/>
      <c r="C288" s="26"/>
      <c r="D288" s="27" t="s">
        <v>39</v>
      </c>
      <c r="E288" s="28">
        <f>SUM(E285:E287)</f>
        <v>0</v>
      </c>
      <c r="F288" s="29">
        <f>SUM(F285:F287)</f>
        <v>0</v>
      </c>
      <c r="G288" s="29">
        <f>SUM(G285:G287)</f>
        <v>0</v>
      </c>
      <c r="H288" s="29">
        <f>SUM(H285:H287)</f>
        <v>0</v>
      </c>
      <c r="I288" s="26"/>
      <c r="J288" s="26"/>
    </row>
    <row r="290" spans="1:10" ht="15" thickBot="1" x14ac:dyDescent="0.35">
      <c r="A290" s="111" t="s">
        <v>505</v>
      </c>
      <c r="B290" s="111"/>
      <c r="C290" s="111"/>
      <c r="D290" s="111"/>
      <c r="E290" s="111"/>
      <c r="F290" s="111"/>
      <c r="G290" s="111"/>
      <c r="H290" s="111"/>
      <c r="I290" s="111"/>
      <c r="J290" s="111"/>
    </row>
    <row r="291" spans="1:10" ht="15" thickBot="1" x14ac:dyDescent="0.35">
      <c r="A291" s="128" t="s">
        <v>18</v>
      </c>
      <c r="B291" s="137"/>
      <c r="C291" s="39" t="s">
        <v>19</v>
      </c>
      <c r="D291" s="11" t="s">
        <v>20</v>
      </c>
      <c r="E291" s="32" t="s">
        <v>12</v>
      </c>
      <c r="F291" s="32" t="s">
        <v>13</v>
      </c>
      <c r="G291" s="32" t="s">
        <v>14</v>
      </c>
      <c r="H291" s="32" t="s">
        <v>15</v>
      </c>
      <c r="I291" s="30" t="s">
        <v>309</v>
      </c>
      <c r="J291" s="30" t="s">
        <v>21</v>
      </c>
    </row>
    <row r="292" spans="1:10" x14ac:dyDescent="0.3">
      <c r="A292" s="139" t="s">
        <v>506</v>
      </c>
      <c r="B292" s="13" t="s">
        <v>507</v>
      </c>
      <c r="C292" s="23" t="s">
        <v>460</v>
      </c>
      <c r="D292" s="42"/>
      <c r="E292" s="16">
        <f t="shared" ref="E292:E320" si="6">F292 + G292 + H292</f>
        <v>0</v>
      </c>
      <c r="F292" s="17">
        <f>D292 * 0.0025</f>
        <v>0</v>
      </c>
      <c r="G292" s="17">
        <f>D292 * 0.000001</f>
        <v>0</v>
      </c>
      <c r="H292" s="17">
        <f>D292 * 0.000034</f>
        <v>0</v>
      </c>
      <c r="I292" s="13" t="s">
        <v>508</v>
      </c>
      <c r="J292" s="13" t="s">
        <v>58</v>
      </c>
    </row>
    <row r="293" spans="1:10" x14ac:dyDescent="0.3">
      <c r="A293" s="139"/>
      <c r="B293" s="13" t="s">
        <v>509</v>
      </c>
      <c r="C293" s="23" t="s">
        <v>460</v>
      </c>
      <c r="D293" s="19"/>
      <c r="E293" s="16">
        <f t="shared" si="6"/>
        <v>0</v>
      </c>
      <c r="F293" s="17">
        <f>D293 * 0.003</f>
        <v>0</v>
      </c>
      <c r="G293" s="17">
        <f>D293 * 0.000001</f>
        <v>0</v>
      </c>
      <c r="H293" s="17">
        <f>D293 * 0.000041</f>
        <v>0</v>
      </c>
      <c r="I293" s="13" t="s">
        <v>508</v>
      </c>
      <c r="J293" s="13" t="s">
        <v>58</v>
      </c>
    </row>
    <row r="294" spans="1:10" x14ac:dyDescent="0.3">
      <c r="A294" s="139"/>
      <c r="B294" s="13" t="s">
        <v>510</v>
      </c>
      <c r="C294" s="23" t="s">
        <v>460</v>
      </c>
      <c r="D294" s="19"/>
      <c r="E294" s="16">
        <f t="shared" si="6"/>
        <v>0</v>
      </c>
      <c r="F294" s="17">
        <f>D294 * 0.0041</f>
        <v>0</v>
      </c>
      <c r="G294" s="17">
        <f>D294 * 0.000001</f>
        <v>0</v>
      </c>
      <c r="H294" s="17">
        <f>D294 * 0.000056</f>
        <v>0</v>
      </c>
      <c r="I294" s="13" t="s">
        <v>508</v>
      </c>
      <c r="J294" s="13" t="s">
        <v>58</v>
      </c>
    </row>
    <row r="295" spans="1:10" x14ac:dyDescent="0.3">
      <c r="A295" s="139"/>
      <c r="B295" s="13" t="s">
        <v>511</v>
      </c>
      <c r="C295" s="23" t="s">
        <v>460</v>
      </c>
      <c r="D295" s="19"/>
      <c r="E295" s="16">
        <f t="shared" si="6"/>
        <v>0</v>
      </c>
      <c r="F295" s="17">
        <f>D295 * 0.0057</f>
        <v>0</v>
      </c>
      <c r="G295" s="17">
        <f>D295 * 0.000002</f>
        <v>0</v>
      </c>
      <c r="H295" s="17">
        <f>D295 * 0.000078</f>
        <v>0</v>
      </c>
      <c r="I295" s="13" t="s">
        <v>508</v>
      </c>
      <c r="J295" s="13" t="s">
        <v>58</v>
      </c>
    </row>
    <row r="296" spans="1:10" x14ac:dyDescent="0.3">
      <c r="A296" s="139"/>
      <c r="B296" s="13" t="s">
        <v>512</v>
      </c>
      <c r="C296" s="23" t="s">
        <v>460</v>
      </c>
      <c r="D296" s="19"/>
      <c r="E296" s="16">
        <f t="shared" si="6"/>
        <v>0</v>
      </c>
      <c r="F296" s="17">
        <f>D296 * 0.0079</f>
        <v>0</v>
      </c>
      <c r="G296" s="17">
        <f>D296 * 0.000002</f>
        <v>0</v>
      </c>
      <c r="H296" s="17">
        <f>D296 * 0.000108</f>
        <v>0</v>
      </c>
      <c r="I296" s="13" t="s">
        <v>508</v>
      </c>
      <c r="J296" s="13" t="s">
        <v>58</v>
      </c>
    </row>
    <row r="297" spans="1:10" x14ac:dyDescent="0.3">
      <c r="A297" s="139"/>
      <c r="B297" s="13" t="s">
        <v>513</v>
      </c>
      <c r="C297" s="23" t="s">
        <v>460</v>
      </c>
      <c r="D297" s="19"/>
      <c r="E297" s="16">
        <f t="shared" si="6"/>
        <v>0</v>
      </c>
      <c r="F297" s="17">
        <f>D297 * 0.0292</f>
        <v>0</v>
      </c>
      <c r="G297" s="17">
        <f>D297 * 0.000009</f>
        <v>0</v>
      </c>
      <c r="H297" s="17">
        <f>D297 * 0.000398</f>
        <v>0</v>
      </c>
      <c r="I297" s="13" t="s">
        <v>508</v>
      </c>
      <c r="J297" s="13" t="s">
        <v>58</v>
      </c>
    </row>
    <row r="298" spans="1:10" x14ac:dyDescent="0.3">
      <c r="A298" s="139"/>
      <c r="B298" s="13" t="s">
        <v>514</v>
      </c>
      <c r="C298" s="23" t="s">
        <v>460</v>
      </c>
      <c r="D298" s="19"/>
      <c r="E298" s="16">
        <f t="shared" si="6"/>
        <v>0</v>
      </c>
      <c r="F298" s="17">
        <f>D298 * 0.0035</f>
        <v>0</v>
      </c>
      <c r="G298" s="17">
        <f>D298 * 0.000001</f>
        <v>0</v>
      </c>
      <c r="H298" s="17">
        <f>D298 * 0.000048</f>
        <v>0</v>
      </c>
      <c r="I298" s="13" t="s">
        <v>508</v>
      </c>
      <c r="J298" s="13" t="s">
        <v>58</v>
      </c>
    </row>
    <row r="299" spans="1:10" x14ac:dyDescent="0.3">
      <c r="A299" s="139" t="s">
        <v>515</v>
      </c>
      <c r="B299" s="13" t="s">
        <v>516</v>
      </c>
      <c r="C299" s="23" t="s">
        <v>460</v>
      </c>
      <c r="D299" s="19"/>
      <c r="E299" s="16">
        <f t="shared" si="6"/>
        <v>0</v>
      </c>
      <c r="F299" s="17">
        <f>D299 * 0.0119</f>
        <v>0</v>
      </c>
      <c r="G299" s="17">
        <f>D299 * 0.000004</f>
        <v>0</v>
      </c>
      <c r="H299" s="17">
        <f>D299 * 0.000162</f>
        <v>0</v>
      </c>
      <c r="I299" s="13" t="s">
        <v>508</v>
      </c>
      <c r="J299" s="13" t="s">
        <v>58</v>
      </c>
    </row>
    <row r="300" spans="1:10" x14ac:dyDescent="0.3">
      <c r="A300" s="139"/>
      <c r="B300" s="13" t="s">
        <v>517</v>
      </c>
      <c r="C300" s="23" t="s">
        <v>460</v>
      </c>
      <c r="D300" s="19"/>
      <c r="E300" s="16">
        <f t="shared" si="6"/>
        <v>0</v>
      </c>
      <c r="F300" s="17">
        <f>D300 * 0.0158</f>
        <v>0</v>
      </c>
      <c r="G300" s="17">
        <f>D300 * 0.000005</f>
        <v>0</v>
      </c>
      <c r="H300" s="17">
        <f>D300 * 0.000215</f>
        <v>0</v>
      </c>
      <c r="I300" s="13" t="s">
        <v>508</v>
      </c>
      <c r="J300" s="13" t="s">
        <v>58</v>
      </c>
    </row>
    <row r="301" spans="1:10" x14ac:dyDescent="0.3">
      <c r="A301" s="139"/>
      <c r="B301" s="13" t="s">
        <v>518</v>
      </c>
      <c r="C301" s="23" t="s">
        <v>460</v>
      </c>
      <c r="D301" s="19"/>
      <c r="E301" s="16">
        <f t="shared" si="6"/>
        <v>0</v>
      </c>
      <c r="F301" s="17">
        <f>D301 * 0.0139</f>
        <v>0</v>
      </c>
      <c r="G301" s="17">
        <f>D301 * 0.000004</f>
        <v>0</v>
      </c>
      <c r="H301" s="17">
        <f>D301 * 0.000189</f>
        <v>0</v>
      </c>
      <c r="I301" s="13" t="s">
        <v>508</v>
      </c>
      <c r="J301" s="13" t="s">
        <v>58</v>
      </c>
    </row>
    <row r="302" spans="1:10" x14ac:dyDescent="0.3">
      <c r="A302" s="139"/>
      <c r="B302" s="13" t="s">
        <v>519</v>
      </c>
      <c r="C302" s="23" t="s">
        <v>460</v>
      </c>
      <c r="D302" s="19"/>
      <c r="E302" s="16">
        <f t="shared" si="6"/>
        <v>0</v>
      </c>
      <c r="F302" s="17">
        <f>D302 * 0.011</f>
        <v>0</v>
      </c>
      <c r="G302" s="17">
        <f>D302 * 0.000003</f>
        <v>0</v>
      </c>
      <c r="H302" s="17">
        <f>D302 * 0.00015</f>
        <v>0</v>
      </c>
      <c r="I302" s="13" t="s">
        <v>508</v>
      </c>
      <c r="J302" s="13" t="s">
        <v>58</v>
      </c>
    </row>
    <row r="303" spans="1:10" x14ac:dyDescent="0.3">
      <c r="A303" s="139"/>
      <c r="B303" s="13" t="s">
        <v>520</v>
      </c>
      <c r="C303" s="23" t="s">
        <v>460</v>
      </c>
      <c r="D303" s="19"/>
      <c r="E303" s="16">
        <f t="shared" si="6"/>
        <v>0</v>
      </c>
      <c r="F303" s="17">
        <f>D303 * 0.0175</f>
        <v>0</v>
      </c>
      <c r="G303" s="17">
        <f>D303 * 0.000005</f>
        <v>0</v>
      </c>
      <c r="H303" s="17">
        <f>D303 * 0.000238</f>
        <v>0</v>
      </c>
      <c r="I303" s="13" t="s">
        <v>508</v>
      </c>
      <c r="J303" s="13" t="s">
        <v>58</v>
      </c>
    </row>
    <row r="304" spans="1:10" x14ac:dyDescent="0.3">
      <c r="A304" s="139"/>
      <c r="B304" s="13" t="s">
        <v>521</v>
      </c>
      <c r="C304" s="23" t="s">
        <v>460</v>
      </c>
      <c r="D304" s="19"/>
      <c r="E304" s="16">
        <f t="shared" si="6"/>
        <v>0</v>
      </c>
      <c r="F304" s="17">
        <f>D304 * 0.0198</f>
        <v>0</v>
      </c>
      <c r="G304" s="17">
        <f>D304 * 0.000006</f>
        <v>0</v>
      </c>
      <c r="H304" s="17">
        <f>D304 * 0.00027</f>
        <v>0</v>
      </c>
      <c r="I304" s="13" t="s">
        <v>508</v>
      </c>
      <c r="J304" s="13" t="s">
        <v>58</v>
      </c>
    </row>
    <row r="305" spans="1:10" x14ac:dyDescent="0.3">
      <c r="A305" s="139"/>
      <c r="B305" s="13" t="s">
        <v>514</v>
      </c>
      <c r="C305" s="23" t="s">
        <v>460</v>
      </c>
      <c r="D305" s="19"/>
      <c r="E305" s="16">
        <f t="shared" si="6"/>
        <v>0</v>
      </c>
      <c r="F305" s="17">
        <f>D305 * 0.0131</f>
        <v>0</v>
      </c>
      <c r="G305" s="17">
        <f>D305 * 0.000004</f>
        <v>0</v>
      </c>
      <c r="H305" s="17">
        <f>D305 * 0.000178</f>
        <v>0</v>
      </c>
      <c r="I305" s="13" t="s">
        <v>508</v>
      </c>
      <c r="J305" s="13" t="s">
        <v>58</v>
      </c>
    </row>
    <row r="306" spans="1:10" x14ac:dyDescent="0.3">
      <c r="A306" s="139" t="s">
        <v>522</v>
      </c>
      <c r="B306" s="13" t="s">
        <v>523</v>
      </c>
      <c r="C306" s="23" t="s">
        <v>460</v>
      </c>
      <c r="D306" s="19"/>
      <c r="E306" s="16">
        <f t="shared" si="6"/>
        <v>0</v>
      </c>
      <c r="F306" s="17">
        <f>D306 * 0.0125</f>
        <v>0</v>
      </c>
      <c r="G306" s="17">
        <f>D306 * 0.000004</f>
        <v>0</v>
      </c>
      <c r="H306" s="17">
        <f>D306 * 0.00017</f>
        <v>0</v>
      </c>
      <c r="I306" s="13" t="s">
        <v>508</v>
      </c>
      <c r="J306" s="13" t="s">
        <v>58</v>
      </c>
    </row>
    <row r="307" spans="1:10" x14ac:dyDescent="0.3">
      <c r="A307" s="139"/>
      <c r="B307" s="13" t="s">
        <v>524</v>
      </c>
      <c r="C307" s="23" t="s">
        <v>460</v>
      </c>
      <c r="D307" s="19"/>
      <c r="E307" s="16">
        <f t="shared" si="6"/>
        <v>0</v>
      </c>
      <c r="F307" s="17">
        <f>D307 * 0.0166</f>
        <v>0</v>
      </c>
      <c r="G307" s="17">
        <f>D307 * 0.000005</f>
        <v>0</v>
      </c>
      <c r="H307" s="17">
        <f>D307 * 0.000226</f>
        <v>0</v>
      </c>
      <c r="I307" s="13" t="s">
        <v>508</v>
      </c>
      <c r="J307" s="13" t="s">
        <v>58</v>
      </c>
    </row>
    <row r="308" spans="1:10" x14ac:dyDescent="0.3">
      <c r="A308" s="139"/>
      <c r="B308" s="13" t="s">
        <v>525</v>
      </c>
      <c r="C308" s="23" t="s">
        <v>460</v>
      </c>
      <c r="D308" s="19"/>
      <c r="E308" s="16">
        <f t="shared" si="6"/>
        <v>0</v>
      </c>
      <c r="F308" s="17">
        <f>D308 * 0.0166</f>
        <v>0</v>
      </c>
      <c r="G308" s="17">
        <f>D308 * 0.000005</f>
        <v>0</v>
      </c>
      <c r="H308" s="17">
        <f>D308 * 0.000226</f>
        <v>0</v>
      </c>
      <c r="I308" s="13" t="s">
        <v>508</v>
      </c>
      <c r="J308" s="13" t="s">
        <v>58</v>
      </c>
    </row>
    <row r="309" spans="1:10" x14ac:dyDescent="0.3">
      <c r="A309" s="139"/>
      <c r="B309" s="13" t="s">
        <v>526</v>
      </c>
      <c r="C309" s="23" t="s">
        <v>460</v>
      </c>
      <c r="D309" s="19"/>
      <c r="E309" s="16">
        <f t="shared" si="6"/>
        <v>0</v>
      </c>
      <c r="F309" s="17">
        <f>D309 * 0.02</f>
        <v>0</v>
      </c>
      <c r="G309" s="17">
        <f>D309 * 0.000006</f>
        <v>0</v>
      </c>
      <c r="H309" s="17">
        <f>D309 * 0.000272</f>
        <v>0</v>
      </c>
      <c r="I309" s="13" t="s">
        <v>508</v>
      </c>
      <c r="J309" s="13" t="s">
        <v>58</v>
      </c>
    </row>
    <row r="310" spans="1:10" x14ac:dyDescent="0.3">
      <c r="A310" s="139"/>
      <c r="B310" s="13" t="s">
        <v>527</v>
      </c>
      <c r="C310" s="23" t="s">
        <v>460</v>
      </c>
      <c r="D310" s="19"/>
      <c r="E310" s="16">
        <f t="shared" si="6"/>
        <v>0</v>
      </c>
      <c r="F310" s="17">
        <f>D310 * 0.0321</f>
        <v>0</v>
      </c>
      <c r="G310" s="17">
        <f>D310 * 0.00001</f>
        <v>0</v>
      </c>
      <c r="H310" s="17">
        <f>D310 * 0.000437</f>
        <v>0</v>
      </c>
      <c r="I310" s="13" t="s">
        <v>508</v>
      </c>
      <c r="J310" s="13" t="s">
        <v>58</v>
      </c>
    </row>
    <row r="311" spans="1:10" x14ac:dyDescent="0.3">
      <c r="A311" s="139"/>
      <c r="B311" s="13" t="s">
        <v>528</v>
      </c>
      <c r="C311" s="23" t="s">
        <v>460</v>
      </c>
      <c r="D311" s="19"/>
      <c r="E311" s="16">
        <f t="shared" si="6"/>
        <v>0</v>
      </c>
      <c r="F311" s="17">
        <f>D311 * 0.0363</f>
        <v>0</v>
      </c>
      <c r="G311" s="17">
        <f>D311 * 0.000011</f>
        <v>0</v>
      </c>
      <c r="H311" s="17">
        <f>D311 * 0.000494</f>
        <v>0</v>
      </c>
      <c r="I311" s="13" t="s">
        <v>508</v>
      </c>
      <c r="J311" s="13" t="s">
        <v>58</v>
      </c>
    </row>
    <row r="312" spans="1:10" x14ac:dyDescent="0.3">
      <c r="A312" s="139"/>
      <c r="B312" s="13" t="s">
        <v>514</v>
      </c>
      <c r="C312" s="23" t="s">
        <v>460</v>
      </c>
      <c r="D312" s="19"/>
      <c r="E312" s="16">
        <f t="shared" si="6"/>
        <v>0</v>
      </c>
      <c r="F312" s="17">
        <f>D312 * 0.0159</f>
        <v>0</v>
      </c>
      <c r="G312" s="17">
        <f>D312 * 0.000005</f>
        <v>0</v>
      </c>
      <c r="H312" s="17">
        <f>D312 * 0.000217</f>
        <v>0</v>
      </c>
      <c r="I312" s="13" t="s">
        <v>508</v>
      </c>
      <c r="J312" s="13" t="s">
        <v>58</v>
      </c>
    </row>
    <row r="313" spans="1:10" x14ac:dyDescent="0.3">
      <c r="A313" s="139" t="s">
        <v>529</v>
      </c>
      <c r="B313" s="13" t="s">
        <v>530</v>
      </c>
      <c r="C313" s="23" t="s">
        <v>460</v>
      </c>
      <c r="D313" s="19"/>
      <c r="E313" s="16">
        <f t="shared" si="6"/>
        <v>0</v>
      </c>
      <c r="F313" s="17">
        <f>D313 * 0.032</f>
        <v>0</v>
      </c>
      <c r="G313" s="17">
        <f>D313 * 0.00001</f>
        <v>0</v>
      </c>
      <c r="H313" s="17">
        <f>D313 * 0.000436</f>
        <v>0</v>
      </c>
      <c r="I313" s="13" t="s">
        <v>508</v>
      </c>
      <c r="J313" s="13" t="s">
        <v>58</v>
      </c>
    </row>
    <row r="314" spans="1:10" x14ac:dyDescent="0.3">
      <c r="A314" s="139"/>
      <c r="B314" s="13" t="s">
        <v>531</v>
      </c>
      <c r="C314" s="23" t="s">
        <v>460</v>
      </c>
      <c r="D314" s="19"/>
      <c r="E314" s="16">
        <f t="shared" si="6"/>
        <v>0</v>
      </c>
      <c r="F314" s="17">
        <f>D314 * 0.0576</f>
        <v>0</v>
      </c>
      <c r="G314" s="17">
        <f>D314 * 0.000017</f>
        <v>0</v>
      </c>
      <c r="H314" s="17">
        <f>D314 * 0.000784</f>
        <v>0</v>
      </c>
      <c r="I314" s="13" t="s">
        <v>508</v>
      </c>
      <c r="J314" s="13" t="s">
        <v>58</v>
      </c>
    </row>
    <row r="315" spans="1:10" x14ac:dyDescent="0.3">
      <c r="A315" s="139"/>
      <c r="B315" s="13" t="s">
        <v>514</v>
      </c>
      <c r="C315" s="23" t="s">
        <v>460</v>
      </c>
      <c r="D315" s="19"/>
      <c r="E315" s="16">
        <f t="shared" si="6"/>
        <v>0</v>
      </c>
      <c r="F315" s="17">
        <f>D315 * 0.0381</f>
        <v>0</v>
      </c>
      <c r="G315" s="17">
        <f>D315 * 0.000011</f>
        <v>0</v>
      </c>
      <c r="H315" s="17">
        <f>D315 * 0.000518</f>
        <v>0</v>
      </c>
      <c r="I315" s="13" t="s">
        <v>508</v>
      </c>
      <c r="J315" s="13" t="s">
        <v>58</v>
      </c>
    </row>
    <row r="316" spans="1:10" x14ac:dyDescent="0.3">
      <c r="A316" s="139" t="s">
        <v>532</v>
      </c>
      <c r="B316" s="13" t="s">
        <v>533</v>
      </c>
      <c r="C316" s="23" t="s">
        <v>460</v>
      </c>
      <c r="D316" s="19"/>
      <c r="E316" s="16">
        <f t="shared" si="6"/>
        <v>0</v>
      </c>
      <c r="F316" s="17">
        <f>D316 * 0.0495</f>
        <v>0</v>
      </c>
      <c r="G316" s="17">
        <f>D316 * 0.000015</f>
        <v>0</v>
      </c>
      <c r="H316" s="17">
        <f>D316 * 0.000674</f>
        <v>0</v>
      </c>
      <c r="I316" s="13" t="s">
        <v>508</v>
      </c>
      <c r="J316" s="13" t="s">
        <v>58</v>
      </c>
    </row>
    <row r="317" spans="1:10" x14ac:dyDescent="0.3">
      <c r="A317" s="139"/>
      <c r="B317" s="13" t="s">
        <v>534</v>
      </c>
      <c r="C317" s="23" t="s">
        <v>460</v>
      </c>
      <c r="D317" s="19"/>
      <c r="E317" s="16">
        <f t="shared" si="6"/>
        <v>0</v>
      </c>
      <c r="F317" s="17">
        <f>D317 * 0.0603</f>
        <v>0</v>
      </c>
      <c r="G317" s="17">
        <f>D317 * 0.000018</f>
        <v>0</v>
      </c>
      <c r="H317" s="17">
        <f>D317 * 0.000821</f>
        <v>0</v>
      </c>
      <c r="I317" s="13" t="s">
        <v>508</v>
      </c>
      <c r="J317" s="13" t="s">
        <v>58</v>
      </c>
    </row>
    <row r="318" spans="1:10" x14ac:dyDescent="0.3">
      <c r="A318" s="139"/>
      <c r="B318" s="13" t="s">
        <v>514</v>
      </c>
      <c r="C318" s="23" t="s">
        <v>460</v>
      </c>
      <c r="D318" s="19"/>
      <c r="E318" s="16">
        <f t="shared" si="6"/>
        <v>0</v>
      </c>
      <c r="F318" s="17">
        <f>D318 * 0.051</f>
        <v>0</v>
      </c>
      <c r="G318" s="17">
        <f>D318 * 0.000015</f>
        <v>0</v>
      </c>
      <c r="H318" s="17">
        <f>D318 * 0.000694</f>
        <v>0</v>
      </c>
      <c r="I318" s="13" t="s">
        <v>508</v>
      </c>
      <c r="J318" s="13" t="s">
        <v>58</v>
      </c>
    </row>
    <row r="319" spans="1:10" x14ac:dyDescent="0.3">
      <c r="A319" s="139"/>
      <c r="B319" s="13" t="s">
        <v>535</v>
      </c>
      <c r="C319" s="23" t="s">
        <v>460</v>
      </c>
      <c r="D319" s="19"/>
      <c r="E319" s="16">
        <f t="shared" si="6"/>
        <v>0</v>
      </c>
      <c r="F319" s="17">
        <f>D319 * 0.3715</f>
        <v>0</v>
      </c>
      <c r="G319" s="17">
        <f>D319 * 0.000111</f>
        <v>0</v>
      </c>
      <c r="H319" s="17">
        <f>D319 * 0.005059</f>
        <v>0</v>
      </c>
      <c r="I319" s="13" t="s">
        <v>508</v>
      </c>
      <c r="J319" s="13" t="s">
        <v>58</v>
      </c>
    </row>
    <row r="320" spans="1:10" ht="15" thickBot="1" x14ac:dyDescent="0.35">
      <c r="A320" s="41" t="s">
        <v>536</v>
      </c>
      <c r="B320" s="13" t="s">
        <v>537</v>
      </c>
      <c r="C320" s="23" t="s">
        <v>460</v>
      </c>
      <c r="D320" s="22"/>
      <c r="E320" s="44">
        <f t="shared" si="6"/>
        <v>0</v>
      </c>
      <c r="F320" s="45">
        <f>D320 * 0.0129</f>
        <v>0</v>
      </c>
      <c r="G320" s="45">
        <f>D320 * 0.000004</f>
        <v>0</v>
      </c>
      <c r="H320" s="45">
        <f>D320 * 0.000176</f>
        <v>0</v>
      </c>
      <c r="I320" s="13" t="s">
        <v>508</v>
      </c>
      <c r="J320" s="13" t="s">
        <v>58</v>
      </c>
    </row>
    <row r="321" spans="1:10" x14ac:dyDescent="0.3">
      <c r="B321" s="26"/>
      <c r="C321" s="26"/>
      <c r="D321" s="27" t="s">
        <v>39</v>
      </c>
      <c r="E321" s="46">
        <f>SUM(E292:E320)</f>
        <v>0</v>
      </c>
      <c r="F321" s="47">
        <f>SUM(F292:F320)</f>
        <v>0</v>
      </c>
      <c r="G321" s="47">
        <f>SUM(G292:G320)</f>
        <v>0</v>
      </c>
      <c r="H321" s="47">
        <f>SUM(H292:H320)</f>
        <v>0</v>
      </c>
      <c r="I321" s="26"/>
      <c r="J321" s="26"/>
    </row>
    <row r="323" spans="1:10" ht="15" thickBot="1" x14ac:dyDescent="0.35">
      <c r="A323" s="160" t="s">
        <v>538</v>
      </c>
      <c r="B323" s="161"/>
      <c r="C323" s="161"/>
      <c r="D323" s="161"/>
      <c r="E323" s="161"/>
      <c r="F323" s="161"/>
      <c r="G323" s="161"/>
      <c r="H323" s="162"/>
    </row>
    <row r="324" spans="1:10" ht="15" thickBot="1" x14ac:dyDescent="0.35">
      <c r="A324" s="9"/>
      <c r="B324" s="10"/>
      <c r="C324" s="39" t="s">
        <v>19</v>
      </c>
      <c r="D324" s="51" t="s">
        <v>20</v>
      </c>
      <c r="E324" s="32" t="s">
        <v>12</v>
      </c>
      <c r="F324" s="32" t="s">
        <v>13</v>
      </c>
      <c r="G324" s="32" t="s">
        <v>14</v>
      </c>
      <c r="H324" s="32" t="s">
        <v>15</v>
      </c>
    </row>
    <row r="325" spans="1:10" ht="15" thickBot="1" x14ac:dyDescent="0.35">
      <c r="A325" s="41" t="s">
        <v>18</v>
      </c>
      <c r="B325" s="71" t="s">
        <v>539</v>
      </c>
      <c r="C325" s="23" t="s">
        <v>460</v>
      </c>
      <c r="D325" s="72">
        <v>0</v>
      </c>
      <c r="E325" s="16">
        <f>F325 + G325 + H325</f>
        <v>0</v>
      </c>
      <c r="F325" s="17">
        <f>D325 * 0.0265653059</f>
        <v>0</v>
      </c>
      <c r="G325" s="17">
        <f>D325 * 0.0000438597</f>
        <v>0</v>
      </c>
      <c r="H325" s="17">
        <f>D325 * 0.0003736226</f>
        <v>0</v>
      </c>
    </row>
  </sheetData>
  <mergeCells count="80">
    <mergeCell ref="A306:A312"/>
    <mergeCell ref="A313:A315"/>
    <mergeCell ref="A316:A319"/>
    <mergeCell ref="A323:H323"/>
    <mergeCell ref="A284:A287"/>
    <mergeCell ref="B284:J284"/>
    <mergeCell ref="A290:J290"/>
    <mergeCell ref="A291:B291"/>
    <mergeCell ref="A292:A298"/>
    <mergeCell ref="A299:A305"/>
    <mergeCell ref="A283:B283"/>
    <mergeCell ref="A260:H260"/>
    <mergeCell ref="A261:B261"/>
    <mergeCell ref="A262:A263"/>
    <mergeCell ref="A266:H266"/>
    <mergeCell ref="A267:B267"/>
    <mergeCell ref="A268:A271"/>
    <mergeCell ref="B268:H268"/>
    <mergeCell ref="A274:H274"/>
    <mergeCell ref="A275:B275"/>
    <mergeCell ref="A276:A279"/>
    <mergeCell ref="B276:H276"/>
    <mergeCell ref="A282:J282"/>
    <mergeCell ref="A230:H230"/>
    <mergeCell ref="A231:B231"/>
    <mergeCell ref="A232:A257"/>
    <mergeCell ref="B232:H232"/>
    <mergeCell ref="B242:H242"/>
    <mergeCell ref="B252:H252"/>
    <mergeCell ref="A200:H200"/>
    <mergeCell ref="A201:B201"/>
    <mergeCell ref="A202:A227"/>
    <mergeCell ref="B202:H202"/>
    <mergeCell ref="B212:H212"/>
    <mergeCell ref="B222:H222"/>
    <mergeCell ref="A164:A167"/>
    <mergeCell ref="A170:H170"/>
    <mergeCell ref="A171:B171"/>
    <mergeCell ref="A172:A197"/>
    <mergeCell ref="B172:H172"/>
    <mergeCell ref="B182:H182"/>
    <mergeCell ref="B192:H192"/>
    <mergeCell ref="A163:B163"/>
    <mergeCell ref="B90:H90"/>
    <mergeCell ref="B96:H96"/>
    <mergeCell ref="A104:H104"/>
    <mergeCell ref="A105:B105"/>
    <mergeCell ref="A106:A159"/>
    <mergeCell ref="B106:H106"/>
    <mergeCell ref="B112:H112"/>
    <mergeCell ref="B118:H118"/>
    <mergeCell ref="B124:H124"/>
    <mergeCell ref="B130:H130"/>
    <mergeCell ref="B136:H136"/>
    <mergeCell ref="B142:H142"/>
    <mergeCell ref="B148:H148"/>
    <mergeCell ref="B154:H154"/>
    <mergeCell ref="A162:H162"/>
    <mergeCell ref="A46:H46"/>
    <mergeCell ref="A47:B47"/>
    <mergeCell ref="A48:A101"/>
    <mergeCell ref="B48:H48"/>
    <mergeCell ref="B54:H54"/>
    <mergeCell ref="B60:H60"/>
    <mergeCell ref="B66:H66"/>
    <mergeCell ref="B72:H72"/>
    <mergeCell ref="B78:H78"/>
    <mergeCell ref="B84:H84"/>
    <mergeCell ref="A19:B19"/>
    <mergeCell ref="A20:A43"/>
    <mergeCell ref="B20:H20"/>
    <mergeCell ref="B26:H26"/>
    <mergeCell ref="B32:H32"/>
    <mergeCell ref="B38:H38"/>
    <mergeCell ref="A18:H18"/>
    <mergeCell ref="A2:U2"/>
    <mergeCell ref="A6:H6"/>
    <mergeCell ref="A8:B9"/>
    <mergeCell ref="A11:I11"/>
    <mergeCell ref="A12:B12"/>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2C10E-FD6F-43F6-B9E5-BF812F640F9D}">
  <sheetPr>
    <tabColor theme="4" tint="0.39997558519241921"/>
  </sheetPr>
  <dimension ref="A1:U27"/>
  <sheetViews>
    <sheetView showGridLines="0" workbookViewId="0">
      <selection activeCell="D32" sqref="D32"/>
    </sheetView>
  </sheetViews>
  <sheetFormatPr defaultColWidth="11.44140625" defaultRowHeight="14.4" x14ac:dyDescent="0.3"/>
  <cols>
    <col min="1" max="1" width="36.88671875" style="2" customWidth="1"/>
    <col min="2" max="2" width="37" style="2" customWidth="1"/>
    <col min="3" max="3" width="21.6640625" style="2" customWidth="1"/>
    <col min="4" max="4" width="20.109375" style="2" customWidth="1"/>
    <col min="5" max="8" width="16" style="2" customWidth="1"/>
    <col min="9" max="9" width="51.88671875" style="2" customWidth="1"/>
    <col min="10" max="10" width="22.5546875" style="2" customWidth="1"/>
    <col min="11" max="100" width="10.6640625" style="2" customWidth="1"/>
    <col min="101" max="16384" width="11.44140625" style="2"/>
  </cols>
  <sheetData>
    <row r="1" spans="1:21" ht="31.2" x14ac:dyDescent="0.3">
      <c r="A1" s="1" t="s">
        <v>7</v>
      </c>
    </row>
    <row r="2" spans="1:21" ht="23.4" x14ac:dyDescent="0.3">
      <c r="A2" s="130" t="s">
        <v>8</v>
      </c>
      <c r="B2" s="102"/>
      <c r="C2" s="102"/>
      <c r="D2" s="102"/>
      <c r="E2" s="102"/>
      <c r="F2" s="102"/>
      <c r="G2" s="102"/>
      <c r="H2" s="102"/>
      <c r="I2" s="102"/>
      <c r="J2" s="102"/>
      <c r="K2" s="102"/>
      <c r="L2" s="102"/>
      <c r="M2" s="102"/>
      <c r="N2" s="102"/>
      <c r="O2" s="102"/>
      <c r="P2" s="102"/>
      <c r="Q2" s="102"/>
      <c r="R2" s="102"/>
      <c r="S2" s="102"/>
      <c r="T2" s="102"/>
      <c r="U2" s="102"/>
    </row>
    <row r="3" spans="1:21" s="64" customFormat="1" x14ac:dyDescent="0.3">
      <c r="A3" s="2"/>
      <c r="B3" s="2"/>
      <c r="C3" s="2"/>
      <c r="D3" s="2"/>
      <c r="E3" s="2"/>
      <c r="F3" s="2"/>
      <c r="G3" s="2"/>
      <c r="H3" s="2"/>
      <c r="I3" s="2"/>
      <c r="J3" s="2"/>
    </row>
    <row r="4" spans="1:21" s="64" customFormat="1" ht="31.2" x14ac:dyDescent="0.3">
      <c r="A4" s="65" t="s">
        <v>540</v>
      </c>
    </row>
    <row r="5" spans="1:21" s="64" customFormat="1" x14ac:dyDescent="0.3">
      <c r="A5" s="131" t="s">
        <v>10</v>
      </c>
      <c r="B5" s="131"/>
      <c r="C5" s="131"/>
      <c r="D5" s="131"/>
      <c r="E5" s="131"/>
      <c r="F5" s="131"/>
      <c r="G5" s="131"/>
      <c r="H5" s="131"/>
      <c r="I5" s="131"/>
      <c r="J5" s="131"/>
    </row>
    <row r="6" spans="1:21" s="64" customFormat="1" ht="70.8" customHeight="1" x14ac:dyDescent="0.3">
      <c r="A6" s="132" t="s">
        <v>634</v>
      </c>
      <c r="B6" s="133"/>
      <c r="C6" s="133"/>
      <c r="D6" s="133"/>
      <c r="E6" s="133"/>
      <c r="F6" s="133"/>
      <c r="G6" s="133"/>
      <c r="H6" s="133"/>
      <c r="I6" s="133"/>
      <c r="J6" s="133"/>
    </row>
    <row r="8" spans="1:21" x14ac:dyDescent="0.3">
      <c r="A8" s="145" t="s">
        <v>541</v>
      </c>
      <c r="B8" s="145"/>
      <c r="C8" s="58"/>
      <c r="D8" s="58"/>
      <c r="E8" s="4" t="s">
        <v>12</v>
      </c>
      <c r="F8" s="4" t="s">
        <v>13</v>
      </c>
      <c r="G8" s="4" t="s">
        <v>14</v>
      </c>
      <c r="H8" s="4" t="s">
        <v>15</v>
      </c>
    </row>
    <row r="9" spans="1:21" x14ac:dyDescent="0.3">
      <c r="A9" s="100"/>
      <c r="B9" s="100"/>
      <c r="C9" s="58"/>
      <c r="D9" s="58"/>
      <c r="E9" s="59">
        <f>SUM(F9:H9)</f>
        <v>0</v>
      </c>
      <c r="F9" s="60">
        <f>SUM(F21,F27)</f>
        <v>0</v>
      </c>
      <c r="G9" s="60">
        <f>SUM(G21,G27)</f>
        <v>0</v>
      </c>
      <c r="H9" s="60">
        <f>SUM(H21,H27)</f>
        <v>0</v>
      </c>
    </row>
    <row r="11" spans="1:21" ht="15" thickBot="1" x14ac:dyDescent="0.35">
      <c r="A11" s="111" t="s">
        <v>542</v>
      </c>
      <c r="B11" s="111"/>
      <c r="C11" s="144"/>
      <c r="D11" s="111"/>
      <c r="E11" s="111"/>
      <c r="F11" s="111"/>
      <c r="G11" s="111"/>
      <c r="H11" s="111"/>
      <c r="I11" s="111"/>
      <c r="J11" s="111"/>
    </row>
    <row r="12" spans="1:21" ht="15" thickBot="1" x14ac:dyDescent="0.35">
      <c r="A12" s="128" t="s">
        <v>18</v>
      </c>
      <c r="B12" s="112"/>
      <c r="C12" s="55" t="s">
        <v>19</v>
      </c>
      <c r="D12" s="51" t="s">
        <v>20</v>
      </c>
      <c r="E12" s="32" t="s">
        <v>12</v>
      </c>
      <c r="F12" s="32" t="s">
        <v>13</v>
      </c>
      <c r="G12" s="32" t="s">
        <v>14</v>
      </c>
      <c r="H12" s="32" t="s">
        <v>15</v>
      </c>
      <c r="I12" s="30" t="s">
        <v>309</v>
      </c>
      <c r="J12" s="30" t="s">
        <v>21</v>
      </c>
    </row>
    <row r="13" spans="1:21" ht="16.2" x14ac:dyDescent="0.3">
      <c r="A13" s="129" t="s">
        <v>543</v>
      </c>
      <c r="B13" s="56" t="s">
        <v>544</v>
      </c>
      <c r="C13" s="56" t="s">
        <v>545</v>
      </c>
      <c r="D13" s="15"/>
      <c r="E13" s="16">
        <f t="shared" ref="E13:E20" si="0">F13 + G13 + H13</f>
        <v>0</v>
      </c>
      <c r="F13" s="17">
        <f>D13 * 0.0617509229</f>
        <v>0</v>
      </c>
      <c r="G13" s="17">
        <f>D13 * 0.1976795062</f>
        <v>0</v>
      </c>
      <c r="H13" s="17">
        <f>D13 * 0.2482379027</f>
        <v>0</v>
      </c>
      <c r="I13" s="13" t="s">
        <v>546</v>
      </c>
      <c r="J13" s="13" t="s">
        <v>547</v>
      </c>
    </row>
    <row r="14" spans="1:21" x14ac:dyDescent="0.3">
      <c r="A14" s="129"/>
      <c r="B14" s="56" t="s">
        <v>544</v>
      </c>
      <c r="C14" s="56" t="s">
        <v>548</v>
      </c>
      <c r="D14" s="19"/>
      <c r="E14" s="16">
        <f t="shared" si="0"/>
        <v>0</v>
      </c>
      <c r="F14" s="17">
        <f>D14 * 5.8963049163</f>
        <v>0</v>
      </c>
      <c r="G14" s="17">
        <f>D14 * 18.8754854085</f>
        <v>0</v>
      </c>
      <c r="H14" s="17">
        <f>D14 * 23.7030686701</f>
        <v>0</v>
      </c>
      <c r="I14" s="13" t="s">
        <v>546</v>
      </c>
      <c r="J14" s="13" t="s">
        <v>547</v>
      </c>
    </row>
    <row r="15" spans="1:21" x14ac:dyDescent="0.3">
      <c r="A15" s="129"/>
      <c r="B15" s="56" t="s">
        <v>549</v>
      </c>
      <c r="C15" s="56" t="s">
        <v>548</v>
      </c>
      <c r="D15" s="19"/>
      <c r="E15" s="16">
        <f t="shared" si="0"/>
        <v>0</v>
      </c>
      <c r="F15" s="17">
        <f t="shared" ref="F15:F20" si="1">D15 * 0</f>
        <v>0</v>
      </c>
      <c r="G15" s="17">
        <f>D15 * 167.9</f>
        <v>0</v>
      </c>
      <c r="H15" s="17">
        <f>D15 * 22.5</f>
        <v>0</v>
      </c>
      <c r="I15" s="13" t="s">
        <v>546</v>
      </c>
      <c r="J15" s="13" t="s">
        <v>547</v>
      </c>
    </row>
    <row r="16" spans="1:21" x14ac:dyDescent="0.3">
      <c r="A16" s="129" t="s">
        <v>550</v>
      </c>
      <c r="B16" s="56" t="s">
        <v>551</v>
      </c>
      <c r="C16" s="56" t="s">
        <v>552</v>
      </c>
      <c r="D16" s="19"/>
      <c r="E16" s="16">
        <f t="shared" si="0"/>
        <v>0</v>
      </c>
      <c r="F16" s="17">
        <f t="shared" si="1"/>
        <v>0</v>
      </c>
      <c r="G16" s="17">
        <f>D16 * 50.05</f>
        <v>0</v>
      </c>
      <c r="H16" s="17">
        <f>D16 * 2.5260557143</f>
        <v>0</v>
      </c>
      <c r="I16" s="13" t="s">
        <v>546</v>
      </c>
      <c r="J16" s="13" t="s">
        <v>547</v>
      </c>
    </row>
    <row r="17" spans="1:10" x14ac:dyDescent="0.3">
      <c r="A17" s="129"/>
      <c r="B17" s="56" t="s">
        <v>553</v>
      </c>
      <c r="C17" s="56" t="s">
        <v>552</v>
      </c>
      <c r="D17" s="19"/>
      <c r="E17" s="16">
        <f t="shared" si="0"/>
        <v>0</v>
      </c>
      <c r="F17" s="17">
        <f t="shared" si="1"/>
        <v>0</v>
      </c>
      <c r="G17" s="17">
        <f>D17 * 48.125</f>
        <v>0</v>
      </c>
      <c r="H17" s="17">
        <f>D17 * 3.6073125</f>
        <v>0</v>
      </c>
      <c r="I17" s="13" t="s">
        <v>546</v>
      </c>
      <c r="J17" s="13" t="s">
        <v>547</v>
      </c>
    </row>
    <row r="18" spans="1:10" x14ac:dyDescent="0.3">
      <c r="A18" s="129"/>
      <c r="B18" s="56" t="s">
        <v>554</v>
      </c>
      <c r="C18" s="56" t="s">
        <v>555</v>
      </c>
      <c r="D18" s="19"/>
      <c r="E18" s="16">
        <f t="shared" si="0"/>
        <v>0</v>
      </c>
      <c r="F18" s="17">
        <f t="shared" si="1"/>
        <v>0</v>
      </c>
      <c r="G18" s="17">
        <f>D18 * 11.7936</f>
        <v>0</v>
      </c>
      <c r="H18" s="17">
        <f>D18 * 0</f>
        <v>0</v>
      </c>
      <c r="I18" s="13" t="s">
        <v>546</v>
      </c>
      <c r="J18" s="13" t="s">
        <v>547</v>
      </c>
    </row>
    <row r="19" spans="1:10" x14ac:dyDescent="0.3">
      <c r="A19" s="129"/>
      <c r="B19" s="56" t="s">
        <v>556</v>
      </c>
      <c r="C19" s="56" t="s">
        <v>557</v>
      </c>
      <c r="D19" s="19"/>
      <c r="E19" s="16">
        <f t="shared" si="0"/>
        <v>0</v>
      </c>
      <c r="F19" s="17">
        <f t="shared" si="1"/>
        <v>0</v>
      </c>
      <c r="G19" s="17">
        <f>D19 * 5.79402936</f>
        <v>0</v>
      </c>
      <c r="H19" s="17">
        <f>D19 * 0</f>
        <v>0</v>
      </c>
      <c r="I19" s="13" t="s">
        <v>546</v>
      </c>
      <c r="J19" s="13" t="s">
        <v>547</v>
      </c>
    </row>
    <row r="20" spans="1:10" ht="15" thickBot="1" x14ac:dyDescent="0.35">
      <c r="A20" s="129"/>
      <c r="B20" s="56" t="s">
        <v>558</v>
      </c>
      <c r="C20" s="56" t="s">
        <v>559</v>
      </c>
      <c r="D20" s="22"/>
      <c r="E20" s="16">
        <f t="shared" si="0"/>
        <v>0</v>
      </c>
      <c r="F20" s="17">
        <f t="shared" si="1"/>
        <v>0</v>
      </c>
      <c r="G20" s="17">
        <f>D20 * 0</f>
        <v>0</v>
      </c>
      <c r="H20" s="17">
        <f>D20 * 0.1022415429</f>
        <v>0</v>
      </c>
      <c r="I20" s="13" t="s">
        <v>546</v>
      </c>
      <c r="J20" s="13" t="s">
        <v>547</v>
      </c>
    </row>
    <row r="21" spans="1:10" x14ac:dyDescent="0.3">
      <c r="B21" s="26"/>
      <c r="C21" s="73"/>
      <c r="D21" s="27" t="s">
        <v>39</v>
      </c>
      <c r="E21" s="34">
        <f>SUM(E13:E20)</f>
        <v>0</v>
      </c>
      <c r="F21" s="29">
        <f>SUM(F13:F20)</f>
        <v>0</v>
      </c>
      <c r="G21" s="29">
        <f>SUM(G13:G20)</f>
        <v>0</v>
      </c>
      <c r="H21" s="29">
        <f>SUM(H13:H20)</f>
        <v>0</v>
      </c>
      <c r="I21" s="26"/>
      <c r="J21" s="26"/>
    </row>
    <row r="23" spans="1:10" ht="15" thickBot="1" x14ac:dyDescent="0.35">
      <c r="A23" s="111" t="s">
        <v>560</v>
      </c>
      <c r="B23" s="111"/>
      <c r="C23" s="111"/>
      <c r="D23" s="111"/>
      <c r="E23" s="111"/>
      <c r="F23" s="111"/>
      <c r="G23" s="111"/>
      <c r="H23" s="111"/>
      <c r="I23" s="111"/>
      <c r="J23" s="111"/>
    </row>
    <row r="24" spans="1:10" ht="15" thickBot="1" x14ac:dyDescent="0.35">
      <c r="A24" s="128" t="s">
        <v>18</v>
      </c>
      <c r="B24" s="128"/>
      <c r="C24" s="30" t="s">
        <v>19</v>
      </c>
      <c r="D24" s="51" t="s">
        <v>20</v>
      </c>
      <c r="E24" s="32" t="s">
        <v>12</v>
      </c>
      <c r="F24" s="32" t="s">
        <v>13</v>
      </c>
      <c r="G24" s="32" t="s">
        <v>14</v>
      </c>
      <c r="H24" s="32" t="s">
        <v>15</v>
      </c>
      <c r="I24" s="30" t="s">
        <v>309</v>
      </c>
      <c r="J24" s="30" t="s">
        <v>21</v>
      </c>
    </row>
    <row r="25" spans="1:10" ht="16.2" x14ac:dyDescent="0.3">
      <c r="A25" s="140" t="s">
        <v>560</v>
      </c>
      <c r="B25" s="141" t="s">
        <v>560</v>
      </c>
      <c r="C25" s="56" t="s">
        <v>561</v>
      </c>
      <c r="D25" s="15"/>
      <c r="E25" s="16">
        <f>F25 + G25 + H25</f>
        <v>0</v>
      </c>
      <c r="F25" s="17">
        <f>D25 * 0.0358903085</f>
        <v>0</v>
      </c>
      <c r="G25" s="17">
        <f>D25 * 0.0009657298</f>
        <v>0</v>
      </c>
      <c r="H25" s="17">
        <f>D25 * 0.0000789027</f>
        <v>0</v>
      </c>
      <c r="I25" s="13" t="s">
        <v>562</v>
      </c>
      <c r="J25" s="13" t="s">
        <v>58</v>
      </c>
    </row>
    <row r="26" spans="1:10" ht="15" thickBot="1" x14ac:dyDescent="0.35">
      <c r="A26" s="140" t="s">
        <v>560</v>
      </c>
      <c r="B26" s="141" t="s">
        <v>560</v>
      </c>
      <c r="C26" s="56" t="s">
        <v>548</v>
      </c>
      <c r="D26" s="22"/>
      <c r="E26" s="16">
        <f>F26 + G26 + H26</f>
        <v>0</v>
      </c>
      <c r="F26" s="17">
        <f>D26 * 4.1803899733</f>
        <v>0</v>
      </c>
      <c r="G26" s="17">
        <f>D26 * 0.1124851636</f>
        <v>0</v>
      </c>
      <c r="H26" s="17">
        <f>D26 * 0.0091903348</f>
        <v>0</v>
      </c>
      <c r="I26" s="13" t="s">
        <v>563</v>
      </c>
      <c r="J26" s="13" t="s">
        <v>58</v>
      </c>
    </row>
    <row r="27" spans="1:10" x14ac:dyDescent="0.3">
      <c r="D27" s="27" t="s">
        <v>39</v>
      </c>
      <c r="E27" s="34">
        <f>SUM(E25:E26)</f>
        <v>0</v>
      </c>
      <c r="F27" s="29">
        <f>SUM(F25:F26)</f>
        <v>0</v>
      </c>
      <c r="G27" s="29">
        <f>SUM(G25:G26)</f>
        <v>0</v>
      </c>
      <c r="H27" s="29">
        <f>SUM(H25:H26)</f>
        <v>0</v>
      </c>
    </row>
  </sheetData>
  <mergeCells count="12">
    <mergeCell ref="A26:B26"/>
    <mergeCell ref="A2:U2"/>
    <mergeCell ref="A5:J5"/>
    <mergeCell ref="A6:J6"/>
    <mergeCell ref="A8:B9"/>
    <mergeCell ref="A11:J11"/>
    <mergeCell ref="A12:B12"/>
    <mergeCell ref="A13:A15"/>
    <mergeCell ref="A16:A20"/>
    <mergeCell ref="A23:J23"/>
    <mergeCell ref="A24:B24"/>
    <mergeCell ref="A25:B2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D653-DD9D-4A0E-BBC0-83A1753F56B7}">
  <sheetPr>
    <tabColor theme="4" tint="0.39997558519241921"/>
  </sheetPr>
  <dimension ref="A1:U60"/>
  <sheetViews>
    <sheetView showGridLines="0" workbookViewId="0">
      <selection activeCell="P6" sqref="P6"/>
    </sheetView>
  </sheetViews>
  <sheetFormatPr defaultColWidth="11.44140625" defaultRowHeight="14.4" x14ac:dyDescent="0.3"/>
  <cols>
    <col min="1" max="1" width="48.88671875" style="2" customWidth="1"/>
    <col min="2" max="2" width="34.5546875" style="2" customWidth="1"/>
    <col min="3" max="3" width="6.44140625" style="2" customWidth="1"/>
    <col min="4" max="4" width="17.109375" style="2" customWidth="1"/>
    <col min="5" max="8" width="15.88671875" style="2" customWidth="1"/>
    <col min="9" max="9" width="67.109375" style="2" customWidth="1"/>
    <col min="10" max="10" width="18.109375" style="2" customWidth="1"/>
    <col min="11" max="100" width="10.6640625" style="2" customWidth="1"/>
    <col min="101" max="16384" width="11.44140625" style="2"/>
  </cols>
  <sheetData>
    <row r="1" spans="1:21" ht="31.2" x14ac:dyDescent="0.3">
      <c r="A1" s="1" t="s">
        <v>7</v>
      </c>
    </row>
    <row r="2" spans="1:21" ht="23.4" x14ac:dyDescent="0.3">
      <c r="A2" s="130" t="s">
        <v>8</v>
      </c>
      <c r="B2" s="102"/>
      <c r="C2" s="102"/>
      <c r="D2" s="102"/>
      <c r="E2" s="102"/>
      <c r="F2" s="102"/>
      <c r="G2" s="102"/>
      <c r="H2" s="102"/>
      <c r="I2" s="102"/>
      <c r="J2" s="102"/>
      <c r="K2" s="102"/>
      <c r="L2" s="102"/>
      <c r="M2" s="102"/>
      <c r="N2" s="102"/>
      <c r="O2" s="102"/>
      <c r="P2" s="102"/>
      <c r="Q2" s="102"/>
      <c r="R2" s="102"/>
      <c r="S2" s="102"/>
      <c r="T2" s="102"/>
      <c r="U2" s="102"/>
    </row>
    <row r="4" spans="1:21" ht="31.2" x14ac:dyDescent="0.3">
      <c r="A4" s="1" t="s">
        <v>564</v>
      </c>
    </row>
    <row r="5" spans="1:21" x14ac:dyDescent="0.3">
      <c r="A5" s="131" t="s">
        <v>10</v>
      </c>
      <c r="B5" s="131"/>
      <c r="C5" s="131"/>
      <c r="D5" s="131"/>
      <c r="E5" s="131"/>
      <c r="F5" s="131"/>
      <c r="G5" s="131"/>
      <c r="H5" s="131"/>
      <c r="I5" s="131"/>
      <c r="J5" s="131"/>
    </row>
    <row r="6" spans="1:21" ht="96" customHeight="1" x14ac:dyDescent="0.3">
      <c r="A6" s="132" t="s">
        <v>631</v>
      </c>
      <c r="B6" s="133"/>
      <c r="C6" s="133"/>
      <c r="D6" s="133"/>
      <c r="E6" s="133"/>
      <c r="F6" s="133"/>
      <c r="G6" s="133"/>
      <c r="H6" s="133"/>
      <c r="I6" s="133"/>
      <c r="J6" s="133"/>
    </row>
    <row r="8" spans="1:21" x14ac:dyDescent="0.3">
      <c r="A8" s="145" t="s">
        <v>565</v>
      </c>
      <c r="B8" s="145"/>
      <c r="C8" s="163" t="s">
        <v>566</v>
      </c>
      <c r="D8" s="58"/>
      <c r="E8" s="4" t="s">
        <v>12</v>
      </c>
      <c r="F8" s="4" t="s">
        <v>13</v>
      </c>
      <c r="G8" s="4" t="s">
        <v>14</v>
      </c>
      <c r="H8" s="4" t="s">
        <v>15</v>
      </c>
    </row>
    <row r="9" spans="1:21" x14ac:dyDescent="0.3">
      <c r="A9" s="100"/>
      <c r="B9" s="100"/>
      <c r="C9" s="164"/>
      <c r="D9" s="58"/>
      <c r="E9" s="59">
        <f>SUM(F9:H9)</f>
        <v>0</v>
      </c>
      <c r="F9" s="60">
        <f>SUM(F25,F41,F47,F60)</f>
        <v>0</v>
      </c>
      <c r="G9" s="60">
        <f>SUM(G25,G41,G47,G60)</f>
        <v>0</v>
      </c>
      <c r="H9" s="60">
        <f>SUM(H25,H41,H47,H60)</f>
        <v>0</v>
      </c>
    </row>
    <row r="11" spans="1:21" ht="15" thickBot="1" x14ac:dyDescent="0.35">
      <c r="A11" s="111" t="s">
        <v>567</v>
      </c>
      <c r="B11" s="111"/>
      <c r="C11" s="111"/>
      <c r="D11" s="111"/>
      <c r="E11" s="111"/>
      <c r="F11" s="111"/>
      <c r="G11" s="111"/>
      <c r="H11" s="111"/>
      <c r="I11" s="111"/>
      <c r="J11" s="111"/>
    </row>
    <row r="12" spans="1:21" ht="15" thickBot="1" x14ac:dyDescent="0.35">
      <c r="A12" s="128" t="s">
        <v>18</v>
      </c>
      <c r="B12" s="112"/>
      <c r="C12" s="39" t="s">
        <v>19</v>
      </c>
      <c r="D12" s="11" t="s">
        <v>20</v>
      </c>
      <c r="E12" s="32" t="s">
        <v>12</v>
      </c>
      <c r="F12" s="32" t="s">
        <v>13</v>
      </c>
      <c r="G12" s="32" t="s">
        <v>14</v>
      </c>
      <c r="H12" s="32" t="s">
        <v>15</v>
      </c>
      <c r="I12" s="30" t="s">
        <v>309</v>
      </c>
      <c r="J12" s="30" t="s">
        <v>21</v>
      </c>
    </row>
    <row r="13" spans="1:21" ht="15.6" x14ac:dyDescent="0.3">
      <c r="A13" s="129" t="s">
        <v>568</v>
      </c>
      <c r="B13" s="56" t="s">
        <v>569</v>
      </c>
      <c r="C13" s="23" t="s">
        <v>25</v>
      </c>
      <c r="D13" s="42"/>
      <c r="E13" s="16">
        <f t="shared" ref="E13:E24" si="0">F13 + G13 + H13</f>
        <v>0</v>
      </c>
      <c r="F13" s="17">
        <f t="shared" ref="F13:F24" si="1">D13 * 0</f>
        <v>0</v>
      </c>
      <c r="G13" s="17">
        <f>D13 * 0.6741504</f>
        <v>0</v>
      </c>
      <c r="H13" s="17">
        <f t="shared" ref="H13:H24" si="2">D13 * 0</f>
        <v>0</v>
      </c>
      <c r="I13" s="13" t="s">
        <v>570</v>
      </c>
      <c r="J13" s="13" t="s">
        <v>571</v>
      </c>
    </row>
    <row r="14" spans="1:21" ht="15.6" x14ac:dyDescent="0.3">
      <c r="A14" s="129"/>
      <c r="B14" s="56" t="s">
        <v>572</v>
      </c>
      <c r="C14" s="23" t="s">
        <v>25</v>
      </c>
      <c r="D14" s="19"/>
      <c r="E14" s="16">
        <f t="shared" si="0"/>
        <v>0</v>
      </c>
      <c r="F14" s="17">
        <f t="shared" si="1"/>
        <v>0</v>
      </c>
      <c r="G14" s="17">
        <f>D14 * 0.5515776</f>
        <v>0</v>
      </c>
      <c r="H14" s="17">
        <f t="shared" si="2"/>
        <v>0</v>
      </c>
      <c r="I14" s="13" t="s">
        <v>570</v>
      </c>
      <c r="J14" s="13" t="s">
        <v>571</v>
      </c>
    </row>
    <row r="15" spans="1:21" ht="15.6" x14ac:dyDescent="0.3">
      <c r="A15" s="129"/>
      <c r="B15" s="56" t="s">
        <v>573</v>
      </c>
      <c r="C15" s="23" t="s">
        <v>25</v>
      </c>
      <c r="D15" s="19"/>
      <c r="E15" s="16">
        <f t="shared" si="0"/>
        <v>0</v>
      </c>
      <c r="F15" s="17">
        <f t="shared" si="1"/>
        <v>0</v>
      </c>
      <c r="G15" s="17">
        <f>D15 * 0.9805824</f>
        <v>0</v>
      </c>
      <c r="H15" s="17">
        <f t="shared" si="2"/>
        <v>0</v>
      </c>
      <c r="I15" s="13" t="s">
        <v>570</v>
      </c>
      <c r="J15" s="13" t="s">
        <v>571</v>
      </c>
    </row>
    <row r="16" spans="1:21" ht="15.6" x14ac:dyDescent="0.3">
      <c r="A16" s="129"/>
      <c r="B16" s="56" t="s">
        <v>574</v>
      </c>
      <c r="C16" s="23" t="s">
        <v>25</v>
      </c>
      <c r="D16" s="19"/>
      <c r="E16" s="16">
        <f t="shared" si="0"/>
        <v>0</v>
      </c>
      <c r="F16" s="17">
        <f t="shared" si="1"/>
        <v>0</v>
      </c>
      <c r="G16" s="17">
        <f>D16 * 0.37997568</f>
        <v>0</v>
      </c>
      <c r="H16" s="17">
        <f t="shared" si="2"/>
        <v>0</v>
      </c>
      <c r="I16" s="13" t="s">
        <v>570</v>
      </c>
      <c r="J16" s="13" t="s">
        <v>571</v>
      </c>
    </row>
    <row r="17" spans="1:10" ht="15.6" x14ac:dyDescent="0.3">
      <c r="A17" s="129"/>
      <c r="B17" s="56" t="s">
        <v>575</v>
      </c>
      <c r="C17" s="23" t="s">
        <v>25</v>
      </c>
      <c r="D17" s="19"/>
      <c r="E17" s="16">
        <f t="shared" si="0"/>
        <v>0</v>
      </c>
      <c r="F17" s="17">
        <f t="shared" si="1"/>
        <v>0</v>
      </c>
      <c r="G17" s="17">
        <f>D17 * 0.0612864</f>
        <v>0</v>
      </c>
      <c r="H17" s="17">
        <f t="shared" si="2"/>
        <v>0</v>
      </c>
      <c r="I17" s="13" t="s">
        <v>570</v>
      </c>
      <c r="J17" s="13" t="s">
        <v>571</v>
      </c>
    </row>
    <row r="18" spans="1:10" ht="15.6" x14ac:dyDescent="0.3">
      <c r="A18" s="129"/>
      <c r="B18" s="56" t="s">
        <v>576</v>
      </c>
      <c r="C18" s="23" t="s">
        <v>25</v>
      </c>
      <c r="D18" s="19"/>
      <c r="E18" s="16">
        <f t="shared" si="0"/>
        <v>0</v>
      </c>
      <c r="F18" s="17">
        <f t="shared" si="1"/>
        <v>0</v>
      </c>
      <c r="G18" s="17">
        <f>D18 * 0.8580096</f>
        <v>0</v>
      </c>
      <c r="H18" s="17">
        <f t="shared" si="2"/>
        <v>0</v>
      </c>
      <c r="I18" s="13" t="s">
        <v>570</v>
      </c>
      <c r="J18" s="13" t="s">
        <v>571</v>
      </c>
    </row>
    <row r="19" spans="1:10" ht="15.6" x14ac:dyDescent="0.3">
      <c r="A19" s="129"/>
      <c r="B19" s="56" t="s">
        <v>577</v>
      </c>
      <c r="C19" s="23" t="s">
        <v>25</v>
      </c>
      <c r="D19" s="19"/>
      <c r="E19" s="16">
        <f t="shared" si="0"/>
        <v>0</v>
      </c>
      <c r="F19" s="17">
        <f t="shared" si="1"/>
        <v>0</v>
      </c>
      <c r="G19" s="17">
        <f>D19 * 0.4902912</f>
        <v>0</v>
      </c>
      <c r="H19" s="17">
        <f t="shared" si="2"/>
        <v>0</v>
      </c>
      <c r="I19" s="13" t="s">
        <v>570</v>
      </c>
      <c r="J19" s="13" t="s">
        <v>571</v>
      </c>
    </row>
    <row r="20" spans="1:10" ht="15.6" x14ac:dyDescent="0.3">
      <c r="A20" s="129"/>
      <c r="B20" s="56" t="s">
        <v>578</v>
      </c>
      <c r="C20" s="23" t="s">
        <v>25</v>
      </c>
      <c r="D20" s="19"/>
      <c r="E20" s="16">
        <f t="shared" si="0"/>
        <v>0</v>
      </c>
      <c r="F20" s="17">
        <f t="shared" si="1"/>
        <v>0</v>
      </c>
      <c r="G20" s="17">
        <f>D20 * 0.2451456</f>
        <v>0</v>
      </c>
      <c r="H20" s="17">
        <f t="shared" si="2"/>
        <v>0</v>
      </c>
      <c r="I20" s="13" t="s">
        <v>570</v>
      </c>
      <c r="J20" s="13" t="s">
        <v>571</v>
      </c>
    </row>
    <row r="21" spans="1:10" ht="15.6" x14ac:dyDescent="0.3">
      <c r="A21" s="129"/>
      <c r="B21" s="56" t="s">
        <v>579</v>
      </c>
      <c r="C21" s="23" t="s">
        <v>25</v>
      </c>
      <c r="D21" s="19"/>
      <c r="E21" s="16">
        <f t="shared" si="0"/>
        <v>0</v>
      </c>
      <c r="F21" s="17">
        <f t="shared" si="1"/>
        <v>0</v>
      </c>
      <c r="G21" s="17">
        <f>D21 * 0.153216</f>
        <v>0</v>
      </c>
      <c r="H21" s="17">
        <f t="shared" si="2"/>
        <v>0</v>
      </c>
      <c r="I21" s="13" t="s">
        <v>570</v>
      </c>
      <c r="J21" s="13" t="s">
        <v>571</v>
      </c>
    </row>
    <row r="22" spans="1:10" ht="15.6" x14ac:dyDescent="0.3">
      <c r="A22" s="129"/>
      <c r="B22" s="56" t="s">
        <v>580</v>
      </c>
      <c r="C22" s="23" t="s">
        <v>25</v>
      </c>
      <c r="D22" s="19"/>
      <c r="E22" s="16">
        <f t="shared" si="0"/>
        <v>0</v>
      </c>
      <c r="F22" s="17">
        <f t="shared" si="1"/>
        <v>0</v>
      </c>
      <c r="G22" s="17">
        <f>D22 * 0</f>
        <v>0</v>
      </c>
      <c r="H22" s="17">
        <f t="shared" si="2"/>
        <v>0</v>
      </c>
      <c r="I22" s="13" t="s">
        <v>570</v>
      </c>
      <c r="J22" s="13" t="s">
        <v>571</v>
      </c>
    </row>
    <row r="23" spans="1:10" ht="15.6" x14ac:dyDescent="0.3">
      <c r="A23" s="129" t="s">
        <v>581</v>
      </c>
      <c r="B23" s="56" t="s">
        <v>582</v>
      </c>
      <c r="C23" s="23" t="s">
        <v>25</v>
      </c>
      <c r="D23" s="19"/>
      <c r="E23" s="16">
        <f t="shared" si="0"/>
        <v>0</v>
      </c>
      <c r="F23" s="17">
        <f t="shared" si="1"/>
        <v>0</v>
      </c>
      <c r="G23" s="17">
        <f>D23 * 0.2317715551</f>
        <v>0</v>
      </c>
      <c r="H23" s="17">
        <f t="shared" si="2"/>
        <v>0</v>
      </c>
      <c r="I23" s="13" t="s">
        <v>570</v>
      </c>
      <c r="J23" s="13" t="s">
        <v>583</v>
      </c>
    </row>
    <row r="24" spans="1:10" ht="16.2" thickBot="1" x14ac:dyDescent="0.35">
      <c r="A24" s="129"/>
      <c r="B24" s="56" t="s">
        <v>584</v>
      </c>
      <c r="C24" s="23" t="s">
        <v>25</v>
      </c>
      <c r="D24" s="22"/>
      <c r="E24" s="44">
        <f t="shared" si="0"/>
        <v>0</v>
      </c>
      <c r="F24" s="45">
        <f t="shared" si="1"/>
        <v>0</v>
      </c>
      <c r="G24" s="45">
        <f>D24 * 0.6658154496</f>
        <v>0</v>
      </c>
      <c r="H24" s="45">
        <f t="shared" si="2"/>
        <v>0</v>
      </c>
      <c r="I24" s="13" t="s">
        <v>570</v>
      </c>
      <c r="J24" s="13" t="s">
        <v>583</v>
      </c>
    </row>
    <row r="25" spans="1:10" x14ac:dyDescent="0.3">
      <c r="B25" s="26"/>
      <c r="C25" s="26"/>
      <c r="D25" s="27" t="s">
        <v>39</v>
      </c>
      <c r="E25" s="46">
        <f>SUM(E13:E24)</f>
        <v>0</v>
      </c>
      <c r="F25" s="47">
        <f>SUM(F13:F24)</f>
        <v>0</v>
      </c>
      <c r="G25" s="47">
        <f>SUM(G13:G24)</f>
        <v>0</v>
      </c>
      <c r="H25" s="47">
        <f>SUM(H13:H24)</f>
        <v>0</v>
      </c>
      <c r="I25" s="26"/>
      <c r="J25" s="26"/>
    </row>
    <row r="27" spans="1:10" ht="15" thickBot="1" x14ac:dyDescent="0.35">
      <c r="A27" s="111" t="s">
        <v>585</v>
      </c>
      <c r="B27" s="111"/>
      <c r="C27" s="111"/>
      <c r="D27" s="111"/>
      <c r="E27" s="111"/>
      <c r="F27" s="111"/>
      <c r="G27" s="111"/>
      <c r="H27" s="111"/>
      <c r="I27" s="111"/>
      <c r="J27" s="111"/>
    </row>
    <row r="28" spans="1:10" ht="15" thickBot="1" x14ac:dyDescent="0.35">
      <c r="A28" s="128" t="s">
        <v>18</v>
      </c>
      <c r="B28" s="112"/>
      <c r="C28" s="39" t="s">
        <v>19</v>
      </c>
      <c r="D28" s="11" t="s">
        <v>20</v>
      </c>
      <c r="E28" s="32" t="s">
        <v>12</v>
      </c>
      <c r="F28" s="32" t="s">
        <v>13</v>
      </c>
      <c r="G28" s="32" t="s">
        <v>14</v>
      </c>
      <c r="H28" s="32" t="s">
        <v>15</v>
      </c>
      <c r="I28" s="30" t="s">
        <v>309</v>
      </c>
      <c r="J28" s="30" t="s">
        <v>21</v>
      </c>
    </row>
    <row r="29" spans="1:10" ht="15.6" x14ac:dyDescent="0.3">
      <c r="A29" s="129" t="s">
        <v>568</v>
      </c>
      <c r="B29" s="56" t="s">
        <v>569</v>
      </c>
      <c r="C29" s="23" t="s">
        <v>25</v>
      </c>
      <c r="D29" s="42"/>
      <c r="E29" s="16">
        <f t="shared" ref="E29:E40" si="3">F29 + G29 + H29</f>
        <v>0</v>
      </c>
      <c r="F29" s="17">
        <f t="shared" ref="F29:F40" si="4">D29 * 0</f>
        <v>0</v>
      </c>
      <c r="G29" s="17">
        <f>D29 * 2.10672</f>
        <v>0</v>
      </c>
      <c r="H29" s="17">
        <f t="shared" ref="H29:H40" si="5">D29 * 0</f>
        <v>0</v>
      </c>
      <c r="I29" s="13" t="s">
        <v>570</v>
      </c>
      <c r="J29" s="13" t="s">
        <v>571</v>
      </c>
    </row>
    <row r="30" spans="1:10" ht="15.6" x14ac:dyDescent="0.3">
      <c r="A30" s="129"/>
      <c r="B30" s="56" t="s">
        <v>572</v>
      </c>
      <c r="C30" s="23" t="s">
        <v>25</v>
      </c>
      <c r="D30" s="19"/>
      <c r="E30" s="16">
        <f t="shared" si="3"/>
        <v>0</v>
      </c>
      <c r="F30" s="17">
        <f t="shared" si="4"/>
        <v>0</v>
      </c>
      <c r="G30" s="17">
        <f>D30 * 1.72368</f>
        <v>0</v>
      </c>
      <c r="H30" s="17">
        <f t="shared" si="5"/>
        <v>0</v>
      </c>
      <c r="I30" s="13" t="s">
        <v>570</v>
      </c>
      <c r="J30" s="13" t="s">
        <v>571</v>
      </c>
    </row>
    <row r="31" spans="1:10" ht="15.6" x14ac:dyDescent="0.3">
      <c r="A31" s="129"/>
      <c r="B31" s="56" t="s">
        <v>573</v>
      </c>
      <c r="C31" s="23" t="s">
        <v>25</v>
      </c>
      <c r="D31" s="19"/>
      <c r="E31" s="16">
        <f t="shared" si="3"/>
        <v>0</v>
      </c>
      <c r="F31" s="17">
        <f t="shared" si="4"/>
        <v>0</v>
      </c>
      <c r="G31" s="17">
        <f>D31 * 3.06432</f>
        <v>0</v>
      </c>
      <c r="H31" s="17">
        <f t="shared" si="5"/>
        <v>0</v>
      </c>
      <c r="I31" s="13" t="s">
        <v>570</v>
      </c>
      <c r="J31" s="13" t="s">
        <v>571</v>
      </c>
    </row>
    <row r="32" spans="1:10" ht="15.6" x14ac:dyDescent="0.3">
      <c r="A32" s="129"/>
      <c r="B32" s="56" t="s">
        <v>574</v>
      </c>
      <c r="C32" s="23" t="s">
        <v>25</v>
      </c>
      <c r="D32" s="19"/>
      <c r="E32" s="16">
        <f t="shared" si="3"/>
        <v>0</v>
      </c>
      <c r="F32" s="17">
        <f t="shared" si="4"/>
        <v>0</v>
      </c>
      <c r="G32" s="17">
        <f>D32 * 1.187424</f>
        <v>0</v>
      </c>
      <c r="H32" s="17">
        <f t="shared" si="5"/>
        <v>0</v>
      </c>
      <c r="I32" s="13" t="s">
        <v>570</v>
      </c>
      <c r="J32" s="13" t="s">
        <v>571</v>
      </c>
    </row>
    <row r="33" spans="1:10" ht="15.6" x14ac:dyDescent="0.3">
      <c r="A33" s="129"/>
      <c r="B33" s="56" t="s">
        <v>575</v>
      </c>
      <c r="C33" s="23" t="s">
        <v>25</v>
      </c>
      <c r="D33" s="19"/>
      <c r="E33" s="16">
        <f t="shared" si="3"/>
        <v>0</v>
      </c>
      <c r="F33" s="17">
        <f t="shared" si="4"/>
        <v>0</v>
      </c>
      <c r="G33" s="17">
        <f>D33 * 0.19152</f>
        <v>0</v>
      </c>
      <c r="H33" s="17">
        <f t="shared" si="5"/>
        <v>0</v>
      </c>
      <c r="I33" s="13" t="s">
        <v>570</v>
      </c>
      <c r="J33" s="13" t="s">
        <v>571</v>
      </c>
    </row>
    <row r="34" spans="1:10" ht="15.6" x14ac:dyDescent="0.3">
      <c r="A34" s="129"/>
      <c r="B34" s="56" t="s">
        <v>576</v>
      </c>
      <c r="C34" s="23" t="s">
        <v>25</v>
      </c>
      <c r="D34" s="19"/>
      <c r="E34" s="16">
        <f t="shared" si="3"/>
        <v>0</v>
      </c>
      <c r="F34" s="17">
        <f t="shared" si="4"/>
        <v>0</v>
      </c>
      <c r="G34" s="17">
        <f>D34 * 2.68128</f>
        <v>0</v>
      </c>
      <c r="H34" s="17">
        <f t="shared" si="5"/>
        <v>0</v>
      </c>
      <c r="I34" s="13" t="s">
        <v>570</v>
      </c>
      <c r="J34" s="13" t="s">
        <v>571</v>
      </c>
    </row>
    <row r="35" spans="1:10" ht="15.6" x14ac:dyDescent="0.3">
      <c r="A35" s="129"/>
      <c r="B35" s="56" t="s">
        <v>577</v>
      </c>
      <c r="C35" s="23" t="s">
        <v>25</v>
      </c>
      <c r="D35" s="19"/>
      <c r="E35" s="16">
        <f t="shared" si="3"/>
        <v>0</v>
      </c>
      <c r="F35" s="17">
        <f t="shared" si="4"/>
        <v>0</v>
      </c>
      <c r="G35" s="17">
        <f>D35 * 1.53216</f>
        <v>0</v>
      </c>
      <c r="H35" s="17">
        <f t="shared" si="5"/>
        <v>0</v>
      </c>
      <c r="I35" s="13" t="s">
        <v>570</v>
      </c>
      <c r="J35" s="13" t="s">
        <v>571</v>
      </c>
    </row>
    <row r="36" spans="1:10" ht="15.6" x14ac:dyDescent="0.3">
      <c r="A36" s="129"/>
      <c r="B36" s="56" t="s">
        <v>578</v>
      </c>
      <c r="C36" s="23" t="s">
        <v>25</v>
      </c>
      <c r="D36" s="19"/>
      <c r="E36" s="16">
        <f t="shared" si="3"/>
        <v>0</v>
      </c>
      <c r="F36" s="17">
        <f t="shared" si="4"/>
        <v>0</v>
      </c>
      <c r="G36" s="17">
        <f>D36 * 0.76608</f>
        <v>0</v>
      </c>
      <c r="H36" s="17">
        <f t="shared" si="5"/>
        <v>0</v>
      </c>
      <c r="I36" s="13" t="s">
        <v>570</v>
      </c>
      <c r="J36" s="13" t="s">
        <v>571</v>
      </c>
    </row>
    <row r="37" spans="1:10" ht="15.6" x14ac:dyDescent="0.3">
      <c r="A37" s="129"/>
      <c r="B37" s="56" t="s">
        <v>579</v>
      </c>
      <c r="C37" s="23" t="s">
        <v>25</v>
      </c>
      <c r="D37" s="19"/>
      <c r="E37" s="16">
        <f t="shared" si="3"/>
        <v>0</v>
      </c>
      <c r="F37" s="17">
        <f t="shared" si="4"/>
        <v>0</v>
      </c>
      <c r="G37" s="17">
        <f>D37 * 0.4788</f>
        <v>0</v>
      </c>
      <c r="H37" s="17">
        <f t="shared" si="5"/>
        <v>0</v>
      </c>
      <c r="I37" s="13" t="s">
        <v>570</v>
      </c>
      <c r="J37" s="13" t="s">
        <v>571</v>
      </c>
    </row>
    <row r="38" spans="1:10" ht="15.6" x14ac:dyDescent="0.3">
      <c r="A38" s="129"/>
      <c r="B38" s="56" t="s">
        <v>580</v>
      </c>
      <c r="C38" s="23" t="s">
        <v>25</v>
      </c>
      <c r="D38" s="19"/>
      <c r="E38" s="16">
        <f t="shared" si="3"/>
        <v>0</v>
      </c>
      <c r="F38" s="17">
        <f t="shared" si="4"/>
        <v>0</v>
      </c>
      <c r="G38" s="17">
        <f>D38 * 0</f>
        <v>0</v>
      </c>
      <c r="H38" s="17">
        <f t="shared" si="5"/>
        <v>0</v>
      </c>
      <c r="I38" s="13" t="s">
        <v>570</v>
      </c>
      <c r="J38" s="13" t="s">
        <v>571</v>
      </c>
    </row>
    <row r="39" spans="1:10" ht="15.6" x14ac:dyDescent="0.3">
      <c r="A39" s="129" t="s">
        <v>581</v>
      </c>
      <c r="B39" s="56" t="s">
        <v>582</v>
      </c>
      <c r="C39" s="23" t="s">
        <v>25</v>
      </c>
      <c r="D39" s="19"/>
      <c r="E39" s="16">
        <f t="shared" si="3"/>
        <v>0</v>
      </c>
      <c r="F39" s="17">
        <f t="shared" si="4"/>
        <v>0</v>
      </c>
      <c r="G39" s="17">
        <f>D39 * 0.7242861097</f>
        <v>0</v>
      </c>
      <c r="H39" s="17">
        <f t="shared" si="5"/>
        <v>0</v>
      </c>
      <c r="I39" s="13" t="s">
        <v>570</v>
      </c>
      <c r="J39" s="13" t="s">
        <v>583</v>
      </c>
    </row>
    <row r="40" spans="1:10" ht="16.2" thickBot="1" x14ac:dyDescent="0.35">
      <c r="A40" s="129"/>
      <c r="B40" s="56" t="s">
        <v>584</v>
      </c>
      <c r="C40" s="23" t="s">
        <v>25</v>
      </c>
      <c r="D40" s="22"/>
      <c r="E40" s="44">
        <f t="shared" si="3"/>
        <v>0</v>
      </c>
      <c r="F40" s="45">
        <f t="shared" si="4"/>
        <v>0</v>
      </c>
      <c r="G40" s="45">
        <f>D40 * 2.08067328</f>
        <v>0</v>
      </c>
      <c r="H40" s="45">
        <f t="shared" si="5"/>
        <v>0</v>
      </c>
      <c r="I40" s="13" t="s">
        <v>570</v>
      </c>
      <c r="J40" s="13" t="s">
        <v>583</v>
      </c>
    </row>
    <row r="41" spans="1:10" x14ac:dyDescent="0.3">
      <c r="B41" s="26"/>
      <c r="C41" s="26"/>
      <c r="D41" s="27" t="s">
        <v>39</v>
      </c>
      <c r="E41" s="46">
        <f>SUM(E29:E40)</f>
        <v>0</v>
      </c>
      <c r="F41" s="47">
        <f>SUM(F29:F40)</f>
        <v>0</v>
      </c>
      <c r="G41" s="47">
        <f>SUM(G29:G40)</f>
        <v>0</v>
      </c>
      <c r="H41" s="47">
        <f>SUM(H29:H40)</f>
        <v>0</v>
      </c>
      <c r="I41" s="26"/>
      <c r="J41" s="26"/>
    </row>
    <row r="43" spans="1:10" ht="15" thickBot="1" x14ac:dyDescent="0.35">
      <c r="A43" s="111" t="s">
        <v>586</v>
      </c>
      <c r="B43" s="111"/>
      <c r="C43" s="111"/>
      <c r="D43" s="111"/>
      <c r="E43" s="111"/>
      <c r="F43" s="111"/>
      <c r="G43" s="111"/>
      <c r="H43" s="111"/>
      <c r="I43" s="111"/>
      <c r="J43" s="111"/>
    </row>
    <row r="44" spans="1:10" ht="15" thickBot="1" x14ac:dyDescent="0.35">
      <c r="A44" s="128" t="s">
        <v>18</v>
      </c>
      <c r="B44" s="112"/>
      <c r="C44" s="39" t="s">
        <v>19</v>
      </c>
      <c r="D44" s="51" t="s">
        <v>20</v>
      </c>
      <c r="E44" s="32" t="s">
        <v>12</v>
      </c>
      <c r="F44" s="32" t="s">
        <v>13</v>
      </c>
      <c r="G44" s="32" t="s">
        <v>14</v>
      </c>
      <c r="H44" s="32" t="s">
        <v>15</v>
      </c>
      <c r="I44" s="30" t="s">
        <v>309</v>
      </c>
      <c r="J44" s="30" t="s">
        <v>21</v>
      </c>
    </row>
    <row r="45" spans="1:10" x14ac:dyDescent="0.3">
      <c r="A45" s="129" t="s">
        <v>587</v>
      </c>
      <c r="B45" s="56" t="s">
        <v>588</v>
      </c>
      <c r="C45" s="23" t="s">
        <v>25</v>
      </c>
      <c r="D45" s="15"/>
      <c r="E45" s="16">
        <f>F45 + G45 + H45</f>
        <v>0</v>
      </c>
      <c r="F45" s="17">
        <f>D45 * 0</f>
        <v>0</v>
      </c>
      <c r="G45" s="17">
        <f>D45 * 0.112</f>
        <v>0</v>
      </c>
      <c r="H45" s="17">
        <f>D45 * 0.0636</f>
        <v>0</v>
      </c>
      <c r="I45" s="13" t="s">
        <v>589</v>
      </c>
      <c r="J45" s="13" t="s">
        <v>590</v>
      </c>
    </row>
    <row r="46" spans="1:10" ht="15" thickBot="1" x14ac:dyDescent="0.35">
      <c r="A46" s="129"/>
      <c r="B46" s="56" t="s">
        <v>591</v>
      </c>
      <c r="C46" s="23" t="s">
        <v>592</v>
      </c>
      <c r="D46" s="22"/>
      <c r="E46" s="44">
        <f>F46 + G46 + H46</f>
        <v>0</v>
      </c>
      <c r="F46" s="45">
        <f>D46 * 0</f>
        <v>0</v>
      </c>
      <c r="G46" s="45">
        <f>D46 * 0.0224</f>
        <v>0</v>
      </c>
      <c r="H46" s="45">
        <f>D46 * 0</f>
        <v>0</v>
      </c>
      <c r="I46" s="13" t="s">
        <v>593</v>
      </c>
      <c r="J46" s="13" t="s">
        <v>594</v>
      </c>
    </row>
    <row r="47" spans="1:10" x14ac:dyDescent="0.3">
      <c r="B47" s="26"/>
      <c r="C47" s="26"/>
      <c r="D47" s="27" t="s">
        <v>39</v>
      </c>
      <c r="E47" s="46">
        <f>SUM(E45:E46)</f>
        <v>0</v>
      </c>
      <c r="F47" s="47">
        <f>SUM(F45:F46)</f>
        <v>0</v>
      </c>
      <c r="G47" s="47">
        <f>SUM(G45:G46)</f>
        <v>0</v>
      </c>
      <c r="H47" s="47">
        <f>SUM(H45:H46)</f>
        <v>0</v>
      </c>
      <c r="I47" s="26"/>
      <c r="J47" s="26"/>
    </row>
    <row r="49" spans="1:10" ht="15" thickBot="1" x14ac:dyDescent="0.35">
      <c r="A49" s="111" t="s">
        <v>595</v>
      </c>
      <c r="B49" s="111"/>
      <c r="C49" s="111"/>
      <c r="D49" s="111"/>
      <c r="E49" s="111"/>
      <c r="F49" s="111"/>
      <c r="G49" s="111"/>
      <c r="H49" s="111"/>
      <c r="I49" s="111"/>
      <c r="J49" s="111"/>
    </row>
    <row r="50" spans="1:10" ht="15" thickBot="1" x14ac:dyDescent="0.35">
      <c r="A50" s="128" t="s">
        <v>18</v>
      </c>
      <c r="B50" s="112"/>
      <c r="C50" s="39" t="s">
        <v>19</v>
      </c>
      <c r="D50" s="51" t="s">
        <v>20</v>
      </c>
      <c r="E50" s="32" t="s">
        <v>12</v>
      </c>
      <c r="F50" s="32" t="s">
        <v>13</v>
      </c>
      <c r="G50" s="32" t="s">
        <v>14</v>
      </c>
      <c r="H50" s="32" t="s">
        <v>15</v>
      </c>
      <c r="I50" s="30" t="s">
        <v>309</v>
      </c>
      <c r="J50" s="30" t="s">
        <v>21</v>
      </c>
    </row>
    <row r="51" spans="1:10" ht="15.6" x14ac:dyDescent="0.3">
      <c r="A51" s="129" t="s">
        <v>568</v>
      </c>
      <c r="B51" s="56" t="s">
        <v>596</v>
      </c>
      <c r="C51" s="23" t="s">
        <v>25</v>
      </c>
      <c r="D51" s="15"/>
      <c r="E51" s="16">
        <f t="shared" ref="E51:E59" si="6">F51 + G51 + H51</f>
        <v>0</v>
      </c>
      <c r="F51" s="17">
        <f t="shared" ref="F51:F59" si="7">D51 * 0</f>
        <v>0</v>
      </c>
      <c r="G51" s="17">
        <f>D51 * 0.196</f>
        <v>0</v>
      </c>
      <c r="H51" s="17">
        <f t="shared" ref="H51:H59" si="8">D51 * 0</f>
        <v>0</v>
      </c>
      <c r="I51" s="13" t="s">
        <v>570</v>
      </c>
      <c r="J51" s="13" t="s">
        <v>594</v>
      </c>
    </row>
    <row r="52" spans="1:10" ht="15.6" x14ac:dyDescent="0.3">
      <c r="A52" s="129"/>
      <c r="B52" s="56" t="s">
        <v>597</v>
      </c>
      <c r="C52" s="23" t="s">
        <v>25</v>
      </c>
      <c r="D52" s="19"/>
      <c r="E52" s="16">
        <f t="shared" si="6"/>
        <v>0</v>
      </c>
      <c r="F52" s="17">
        <f t="shared" si="7"/>
        <v>0</v>
      </c>
      <c r="G52" s="17">
        <f>D52 * 0.1568</f>
        <v>0</v>
      </c>
      <c r="H52" s="17">
        <f t="shared" si="8"/>
        <v>0</v>
      </c>
      <c r="I52" s="13" t="s">
        <v>570</v>
      </c>
      <c r="J52" s="13" t="s">
        <v>594</v>
      </c>
    </row>
    <row r="53" spans="1:10" ht="15.6" x14ac:dyDescent="0.3">
      <c r="A53" s="129"/>
      <c r="B53" s="56" t="s">
        <v>598</v>
      </c>
      <c r="C53" s="23" t="s">
        <v>25</v>
      </c>
      <c r="D53" s="19"/>
      <c r="E53" s="16">
        <f t="shared" si="6"/>
        <v>0</v>
      </c>
      <c r="F53" s="17">
        <f t="shared" si="7"/>
        <v>0</v>
      </c>
      <c r="G53" s="17">
        <f>D53 * 1.0976</f>
        <v>0</v>
      </c>
      <c r="H53" s="17">
        <f t="shared" si="8"/>
        <v>0</v>
      </c>
      <c r="I53" s="13" t="s">
        <v>570</v>
      </c>
      <c r="J53" s="13" t="s">
        <v>594</v>
      </c>
    </row>
    <row r="54" spans="1:10" ht="15.6" x14ac:dyDescent="0.3">
      <c r="A54" s="129"/>
      <c r="B54" s="56" t="s">
        <v>599</v>
      </c>
      <c r="C54" s="23" t="s">
        <v>25</v>
      </c>
      <c r="D54" s="19"/>
      <c r="E54" s="16">
        <f t="shared" si="6"/>
        <v>0</v>
      </c>
      <c r="F54" s="17">
        <f t="shared" si="7"/>
        <v>0</v>
      </c>
      <c r="G54" s="17">
        <f>D54 * 0.588</f>
        <v>0</v>
      </c>
      <c r="H54" s="17">
        <f t="shared" si="8"/>
        <v>0</v>
      </c>
      <c r="I54" s="13" t="s">
        <v>570</v>
      </c>
      <c r="J54" s="13" t="s">
        <v>594</v>
      </c>
    </row>
    <row r="55" spans="1:10" ht="15.6" x14ac:dyDescent="0.3">
      <c r="A55" s="129"/>
      <c r="B55" s="56" t="s">
        <v>600</v>
      </c>
      <c r="C55" s="23" t="s">
        <v>25</v>
      </c>
      <c r="D55" s="19"/>
      <c r="E55" s="16">
        <f t="shared" si="6"/>
        <v>0</v>
      </c>
      <c r="F55" s="17">
        <f t="shared" si="7"/>
        <v>0</v>
      </c>
      <c r="G55" s="17">
        <f>D55 * 0.784</f>
        <v>0</v>
      </c>
      <c r="H55" s="17">
        <f t="shared" si="8"/>
        <v>0</v>
      </c>
      <c r="I55" s="13" t="s">
        <v>570</v>
      </c>
      <c r="J55" s="13" t="s">
        <v>594</v>
      </c>
    </row>
    <row r="56" spans="1:10" ht="15.6" x14ac:dyDescent="0.3">
      <c r="A56" s="129"/>
      <c r="B56" s="56" t="s">
        <v>601</v>
      </c>
      <c r="C56" s="23" t="s">
        <v>25</v>
      </c>
      <c r="D56" s="19"/>
      <c r="E56" s="16">
        <f t="shared" si="6"/>
        <v>0</v>
      </c>
      <c r="F56" s="17">
        <f t="shared" si="7"/>
        <v>0</v>
      </c>
      <c r="G56" s="17">
        <f>D56 * 0.588</f>
        <v>0</v>
      </c>
      <c r="H56" s="17">
        <f t="shared" si="8"/>
        <v>0</v>
      </c>
      <c r="I56" s="13" t="s">
        <v>570</v>
      </c>
      <c r="J56" s="13" t="s">
        <v>594</v>
      </c>
    </row>
    <row r="57" spans="1:10" ht="15.6" x14ac:dyDescent="0.3">
      <c r="A57" s="129"/>
      <c r="B57" s="56" t="s">
        <v>602</v>
      </c>
      <c r="C57" s="23" t="s">
        <v>25</v>
      </c>
      <c r="D57" s="19"/>
      <c r="E57" s="16">
        <f t="shared" si="6"/>
        <v>0</v>
      </c>
      <c r="F57" s="17">
        <f t="shared" si="7"/>
        <v>0</v>
      </c>
      <c r="G57" s="17">
        <f>D57 * 1.3328</f>
        <v>0</v>
      </c>
      <c r="H57" s="17">
        <f t="shared" si="8"/>
        <v>0</v>
      </c>
      <c r="I57" s="13" t="s">
        <v>570</v>
      </c>
      <c r="J57" s="13" t="s">
        <v>594</v>
      </c>
    </row>
    <row r="58" spans="1:10" ht="15.6" x14ac:dyDescent="0.3">
      <c r="A58" s="129"/>
      <c r="B58" s="56" t="s">
        <v>603</v>
      </c>
      <c r="C58" s="23" t="s">
        <v>25</v>
      </c>
      <c r="D58" s="19"/>
      <c r="E58" s="16">
        <f t="shared" si="6"/>
        <v>0</v>
      </c>
      <c r="F58" s="17">
        <f t="shared" si="7"/>
        <v>0</v>
      </c>
      <c r="G58" s="17">
        <f>D58 * 0</f>
        <v>0</v>
      </c>
      <c r="H58" s="17">
        <f t="shared" si="8"/>
        <v>0</v>
      </c>
      <c r="I58" s="13" t="s">
        <v>570</v>
      </c>
      <c r="J58" s="13" t="s">
        <v>594</v>
      </c>
    </row>
    <row r="59" spans="1:10" ht="16.2" thickBot="1" x14ac:dyDescent="0.35">
      <c r="A59" s="129"/>
      <c r="B59" s="56" t="s">
        <v>604</v>
      </c>
      <c r="C59" s="23" t="s">
        <v>25</v>
      </c>
      <c r="D59" s="22"/>
      <c r="E59" s="16">
        <f t="shared" si="6"/>
        <v>0</v>
      </c>
      <c r="F59" s="17">
        <f t="shared" si="7"/>
        <v>0</v>
      </c>
      <c r="G59" s="17">
        <f>D59 * 0.1970394997</f>
        <v>0</v>
      </c>
      <c r="H59" s="17">
        <f t="shared" si="8"/>
        <v>0</v>
      </c>
      <c r="I59" s="13" t="s">
        <v>570</v>
      </c>
      <c r="J59" s="13" t="s">
        <v>594</v>
      </c>
    </row>
    <row r="60" spans="1:10" x14ac:dyDescent="0.3">
      <c r="D60" s="74" t="s">
        <v>39</v>
      </c>
      <c r="E60" s="34">
        <f>SUM(E51:E59)</f>
        <v>0</v>
      </c>
      <c r="F60" s="29">
        <f>SUM(F51:F59)</f>
        <v>0</v>
      </c>
      <c r="G60" s="29">
        <f>SUM(G51:G59)</f>
        <v>0</v>
      </c>
      <c r="H60" s="29">
        <f>SUM(H51:H59)</f>
        <v>0</v>
      </c>
    </row>
  </sheetData>
  <mergeCells count="19">
    <mergeCell ref="A51:A59"/>
    <mergeCell ref="A39:A40"/>
    <mergeCell ref="A43:J43"/>
    <mergeCell ref="A44:B44"/>
    <mergeCell ref="A45:A46"/>
    <mergeCell ref="A49:J49"/>
    <mergeCell ref="A50:B50"/>
    <mergeCell ref="A29:A38"/>
    <mergeCell ref="A2:U2"/>
    <mergeCell ref="A5:J5"/>
    <mergeCell ref="A6:J6"/>
    <mergeCell ref="A8:B9"/>
    <mergeCell ref="C8:C9"/>
    <mergeCell ref="A11:J11"/>
    <mergeCell ref="A12:B12"/>
    <mergeCell ref="A13:A22"/>
    <mergeCell ref="A23:A24"/>
    <mergeCell ref="A27:J27"/>
    <mergeCell ref="A28:B28"/>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2EBE-43B6-44D0-A449-717EE57A848D}">
  <sheetPr>
    <tabColor theme="9"/>
  </sheetPr>
  <dimension ref="B2"/>
  <sheetViews>
    <sheetView showGridLines="0" workbookViewId="0"/>
  </sheetViews>
  <sheetFormatPr defaultRowHeight="14.4" x14ac:dyDescent="0.3"/>
  <sheetData>
    <row r="2" spans="2:2" x14ac:dyDescent="0.3">
      <c r="B2" t="s">
        <v>605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DF54-60B7-47BF-91C9-BE22E412AC99}">
  <sheetPr>
    <tabColor theme="9" tint="0.39997558519241921"/>
  </sheetPr>
  <dimension ref="A1:T67"/>
  <sheetViews>
    <sheetView showGridLines="0" zoomScaleNormal="100" workbookViewId="0">
      <selection activeCell="J6" sqref="J6"/>
    </sheetView>
  </sheetViews>
  <sheetFormatPr defaultColWidth="11.44140625" defaultRowHeight="14.4" x14ac:dyDescent="0.3"/>
  <cols>
    <col min="1" max="1" width="24.109375" style="2" customWidth="1"/>
    <col min="2" max="2" width="25.6640625" style="2" customWidth="1"/>
    <col min="3" max="3" width="6.33203125" style="2" customWidth="1"/>
    <col min="4" max="4" width="14.109375" style="2" customWidth="1"/>
    <col min="5" max="8" width="18.44140625" style="2" customWidth="1"/>
    <col min="9" max="9" width="4.21875" style="2" customWidth="1"/>
    <col min="10" max="10" width="67.21875" style="2" customWidth="1"/>
    <col min="11" max="99" width="10.6640625" style="2" customWidth="1"/>
    <col min="100" max="16384" width="11.44140625" style="2"/>
  </cols>
  <sheetData>
    <row r="1" spans="1:20" ht="31.2" x14ac:dyDescent="0.3">
      <c r="A1" s="1" t="s">
        <v>7</v>
      </c>
    </row>
    <row r="2" spans="1:20" ht="23.4" x14ac:dyDescent="0.3">
      <c r="A2" s="101" t="s">
        <v>8</v>
      </c>
      <c r="B2" s="102"/>
      <c r="C2" s="102"/>
      <c r="D2" s="102"/>
      <c r="E2" s="102"/>
      <c r="F2" s="102"/>
      <c r="G2" s="102"/>
      <c r="H2" s="102"/>
      <c r="I2" s="102"/>
      <c r="J2" s="102"/>
      <c r="K2" s="102"/>
      <c r="L2" s="102"/>
      <c r="M2" s="102"/>
      <c r="N2" s="102"/>
      <c r="O2" s="102"/>
      <c r="P2" s="102"/>
      <c r="Q2" s="102"/>
      <c r="R2" s="102"/>
      <c r="S2" s="102"/>
      <c r="T2" s="102"/>
    </row>
    <row r="4" spans="1:20" ht="31.2" x14ac:dyDescent="0.3">
      <c r="A4" s="1" t="s">
        <v>9</v>
      </c>
    </row>
    <row r="5" spans="1:20" x14ac:dyDescent="0.3">
      <c r="A5" s="103" t="s">
        <v>10</v>
      </c>
      <c r="B5" s="104"/>
      <c r="C5" s="104"/>
      <c r="D5" s="104"/>
      <c r="E5" s="104"/>
      <c r="F5" s="104"/>
      <c r="G5" s="104"/>
      <c r="H5" s="105"/>
    </row>
    <row r="6" spans="1:20" ht="81" customHeight="1" x14ac:dyDescent="0.3">
      <c r="A6" s="106" t="s">
        <v>11</v>
      </c>
      <c r="B6" s="107"/>
      <c r="C6" s="107"/>
      <c r="D6" s="107"/>
      <c r="E6" s="107"/>
      <c r="F6" s="107"/>
      <c r="G6" s="107"/>
      <c r="H6" s="108"/>
    </row>
    <row r="8" spans="1:20" ht="15" customHeight="1" x14ac:dyDescent="0.3">
      <c r="A8" s="109"/>
      <c r="B8" s="109"/>
      <c r="C8" s="109"/>
      <c r="D8" s="110"/>
      <c r="E8" s="4" t="s">
        <v>12</v>
      </c>
      <c r="F8" s="4" t="s">
        <v>13</v>
      </c>
      <c r="G8" s="4" t="s">
        <v>14</v>
      </c>
      <c r="H8" s="4" t="s">
        <v>15</v>
      </c>
    </row>
    <row r="9" spans="1:20" x14ac:dyDescent="0.3">
      <c r="A9" s="109" t="s">
        <v>16</v>
      </c>
      <c r="B9" s="109"/>
      <c r="C9" s="109"/>
      <c r="D9" s="109"/>
      <c r="E9" s="5">
        <f>SUM(F9:H9)</f>
        <v>0</v>
      </c>
      <c r="F9" s="6">
        <f>SUM(F41,F56)</f>
        <v>0</v>
      </c>
      <c r="G9" s="6">
        <f>SUM(G41,G56)</f>
        <v>0</v>
      </c>
      <c r="H9" s="6">
        <f>SUM(H41,H56)</f>
        <v>0</v>
      </c>
    </row>
    <row r="10" spans="1:20" x14ac:dyDescent="0.3">
      <c r="A10" s="100" t="s">
        <v>17</v>
      </c>
      <c r="B10" s="100"/>
      <c r="C10" s="100"/>
      <c r="D10" s="100"/>
      <c r="E10" s="7">
        <f>E67</f>
        <v>0</v>
      </c>
      <c r="F10" s="8">
        <f>F67</f>
        <v>0</v>
      </c>
      <c r="G10" s="8">
        <f>G67</f>
        <v>0</v>
      </c>
      <c r="H10" s="8">
        <f>H67</f>
        <v>0</v>
      </c>
      <c r="J10" s="2" t="s">
        <v>624</v>
      </c>
    </row>
    <row r="12" spans="1:20" ht="34.799999999999997" customHeight="1" thickBot="1" x14ac:dyDescent="0.35">
      <c r="A12" s="111" t="s">
        <v>22</v>
      </c>
      <c r="B12" s="111"/>
      <c r="C12" s="111"/>
      <c r="D12" s="111"/>
      <c r="E12" s="111"/>
      <c r="F12" s="111"/>
      <c r="G12" s="111"/>
      <c r="H12" s="111"/>
      <c r="J12" s="99" t="s">
        <v>625</v>
      </c>
    </row>
    <row r="13" spans="1:20" ht="15" thickBot="1" x14ac:dyDescent="0.35">
      <c r="A13" s="112" t="s">
        <v>18</v>
      </c>
      <c r="B13" s="113"/>
      <c r="C13" s="10" t="s">
        <v>19</v>
      </c>
      <c r="D13" s="11" t="s">
        <v>20</v>
      </c>
      <c r="E13" s="12" t="s">
        <v>12</v>
      </c>
      <c r="F13" s="12" t="s">
        <v>13</v>
      </c>
      <c r="G13" s="12" t="s">
        <v>14</v>
      </c>
      <c r="H13" s="12" t="s">
        <v>15</v>
      </c>
    </row>
    <row r="14" spans="1:20" ht="15" customHeight="1" thickBot="1" x14ac:dyDescent="0.35">
      <c r="A14" s="114" t="s">
        <v>22</v>
      </c>
      <c r="B14" s="118" t="s">
        <v>23</v>
      </c>
      <c r="C14" s="119"/>
      <c r="D14" s="120"/>
      <c r="E14" s="119"/>
      <c r="F14" s="119"/>
      <c r="G14" s="119"/>
      <c r="H14" s="119"/>
    </row>
    <row r="15" spans="1:20" x14ac:dyDescent="0.3">
      <c r="A15" s="115"/>
      <c r="B15" s="13" t="s">
        <v>24</v>
      </c>
      <c r="C15" s="14" t="s">
        <v>25</v>
      </c>
      <c r="D15" s="15"/>
      <c r="E15" s="16">
        <f>F15 + G15 + H15</f>
        <v>0</v>
      </c>
      <c r="F15" s="17">
        <f>D15 * 1.9466205639</f>
        <v>0</v>
      </c>
      <c r="G15" s="17">
        <f>D15 * 0.1689871421</f>
        <v>0</v>
      </c>
      <c r="H15" s="17">
        <f>D15 * 0.007996713</f>
        <v>0</v>
      </c>
    </row>
    <row r="16" spans="1:20" x14ac:dyDescent="0.3">
      <c r="A16" s="115"/>
      <c r="B16" s="13" t="s">
        <v>26</v>
      </c>
      <c r="C16" s="18" t="s">
        <v>25</v>
      </c>
      <c r="D16" s="19"/>
      <c r="E16" s="20">
        <f>F16 + G16 + H16</f>
        <v>0</v>
      </c>
      <c r="F16" s="21">
        <f>D16 * 2.6373603787</f>
        <v>0</v>
      </c>
      <c r="G16" s="21">
        <f>D16 * 0.2361285294</f>
        <v>0</v>
      </c>
      <c r="H16" s="21">
        <f>D16 * 0.0111739393</f>
        <v>0</v>
      </c>
    </row>
    <row r="17" spans="1:8" x14ac:dyDescent="0.3">
      <c r="A17" s="115"/>
      <c r="B17" s="13" t="s">
        <v>27</v>
      </c>
      <c r="C17" s="18" t="s">
        <v>25</v>
      </c>
      <c r="D17" s="19"/>
      <c r="E17" s="20">
        <f>F17 + G17 + H17</f>
        <v>0</v>
      </c>
      <c r="F17" s="21">
        <f>D17 * 1.9910094769</f>
        <v>0</v>
      </c>
      <c r="G17" s="21">
        <f>D17 * 0.1727172043</f>
        <v>0</v>
      </c>
      <c r="H17" s="21">
        <f>D17 * 0.0081732248</f>
        <v>0</v>
      </c>
    </row>
    <row r="18" spans="1:8" ht="15" thickBot="1" x14ac:dyDescent="0.35">
      <c r="A18" s="115"/>
      <c r="B18" s="13" t="s">
        <v>28</v>
      </c>
      <c r="C18" s="18" t="s">
        <v>25</v>
      </c>
      <c r="D18" s="22"/>
      <c r="E18" s="20">
        <f>F18 + G18 + H18</f>
        <v>0</v>
      </c>
      <c r="F18" s="21">
        <f>D18 * 1.4204478726</f>
        <v>0</v>
      </c>
      <c r="G18" s="21">
        <f>D18 * 0.1217395986</f>
        <v>0</v>
      </c>
      <c r="H18" s="21">
        <f>D18 * 0.0057608917</f>
        <v>0</v>
      </c>
    </row>
    <row r="19" spans="1:8" ht="15" thickBot="1" x14ac:dyDescent="0.35">
      <c r="A19" s="115"/>
      <c r="B19" s="121" t="s">
        <v>29</v>
      </c>
      <c r="C19" s="122"/>
      <c r="D19" s="122"/>
      <c r="E19" s="122"/>
      <c r="F19" s="122"/>
      <c r="G19" s="122"/>
      <c r="H19" s="122"/>
    </row>
    <row r="20" spans="1:8" x14ac:dyDescent="0.3">
      <c r="A20" s="116"/>
      <c r="B20" s="13" t="s">
        <v>24</v>
      </c>
      <c r="C20" s="23" t="s">
        <v>25</v>
      </c>
      <c r="D20" s="15"/>
      <c r="E20" s="20">
        <f t="shared" ref="E20:E29" si="0">F20 + G20 + H20</f>
        <v>0</v>
      </c>
      <c r="F20" s="21">
        <f>D20 * 1.9932858457</f>
        <v>0</v>
      </c>
      <c r="G20" s="21">
        <f>D20 * 0.0057986863</f>
        <v>0</v>
      </c>
      <c r="H20" s="21">
        <f>D20 * 0.0082320636</f>
        <v>0</v>
      </c>
    </row>
    <row r="21" spans="1:8" x14ac:dyDescent="0.3">
      <c r="A21" s="116"/>
      <c r="B21" s="13" t="s">
        <v>26</v>
      </c>
      <c r="C21" s="23" t="s">
        <v>25</v>
      </c>
      <c r="D21" s="19"/>
      <c r="E21" s="20">
        <f t="shared" si="0"/>
        <v>0</v>
      </c>
      <c r="F21" s="21">
        <f>D21 * 2.6373603787</f>
        <v>0</v>
      </c>
      <c r="G21" s="21">
        <f>D21 * 0.007870951</f>
        <v>0</v>
      </c>
      <c r="H21" s="21">
        <f>D21 * 0.0111739393</f>
        <v>0</v>
      </c>
    </row>
    <row r="22" spans="1:8" x14ac:dyDescent="0.3">
      <c r="A22" s="116"/>
      <c r="B22" s="13" t="s">
        <v>27</v>
      </c>
      <c r="C22" s="23" t="s">
        <v>25</v>
      </c>
      <c r="D22" s="19"/>
      <c r="E22" s="20">
        <f t="shared" si="0"/>
        <v>0</v>
      </c>
      <c r="F22" s="21">
        <f>D22 * 1.9910094769</f>
        <v>0</v>
      </c>
      <c r="G22" s="21">
        <f>D22 * 0.0057572401</f>
        <v>0</v>
      </c>
      <c r="H22" s="21">
        <f>D22 * 0.0081732248</f>
        <v>0</v>
      </c>
    </row>
    <row r="23" spans="1:8" x14ac:dyDescent="0.3">
      <c r="A23" s="116"/>
      <c r="B23" s="13" t="s">
        <v>28</v>
      </c>
      <c r="C23" s="23" t="s">
        <v>25</v>
      </c>
      <c r="D23" s="19"/>
      <c r="E23" s="20">
        <f t="shared" si="0"/>
        <v>0</v>
      </c>
      <c r="F23" s="21">
        <f>D23 * 1.4204478726</f>
        <v>0</v>
      </c>
      <c r="G23" s="21">
        <f>D23 * 0.0040579866</f>
        <v>0</v>
      </c>
      <c r="H23" s="21">
        <f>D23 * 0.0057608917</f>
        <v>0</v>
      </c>
    </row>
    <row r="24" spans="1:8" x14ac:dyDescent="0.3">
      <c r="A24" s="116"/>
      <c r="B24" s="13" t="s">
        <v>30</v>
      </c>
      <c r="C24" s="23" t="s">
        <v>31</v>
      </c>
      <c r="D24" s="19"/>
      <c r="E24" s="20">
        <f t="shared" si="0"/>
        <v>0</v>
      </c>
      <c r="F24" s="21">
        <f>D24 * 2.6730865704</f>
        <v>0</v>
      </c>
      <c r="G24" s="21">
        <f>D24 * 0.0102388965</f>
        <v>0</v>
      </c>
      <c r="H24" s="21">
        <f>D24 * 0.0058142305</f>
        <v>0</v>
      </c>
    </row>
    <row r="25" spans="1:8" x14ac:dyDescent="0.3">
      <c r="A25" s="116"/>
      <c r="B25" s="13" t="s">
        <v>32</v>
      </c>
      <c r="C25" s="23" t="s">
        <v>25</v>
      </c>
      <c r="D25" s="19"/>
      <c r="E25" s="20">
        <f t="shared" si="0"/>
        <v>0</v>
      </c>
      <c r="F25" s="21">
        <f>D25 * 2.963726347</f>
        <v>0</v>
      </c>
      <c r="G25" s="21">
        <f>D25 * 0.00665</f>
        <v>0</v>
      </c>
      <c r="H25" s="21">
        <f>D25 * 0.00125875</f>
        <v>0</v>
      </c>
    </row>
    <row r="26" spans="1:8" x14ac:dyDescent="0.3">
      <c r="A26" s="116"/>
      <c r="B26" s="13" t="s">
        <v>33</v>
      </c>
      <c r="C26" s="23" t="s">
        <v>31</v>
      </c>
      <c r="D26" s="19"/>
      <c r="E26" s="20">
        <f t="shared" si="0"/>
        <v>0</v>
      </c>
      <c r="F26" s="21">
        <f>D26 * 2.9875681713</f>
        <v>0</v>
      </c>
      <c r="G26" s="21">
        <f>D26 * 0.0108366525</f>
        <v>0</v>
      </c>
      <c r="H26" s="21">
        <f>D26 * 0.0061536705</f>
        <v>0</v>
      </c>
    </row>
    <row r="27" spans="1:8" x14ac:dyDescent="0.3">
      <c r="A27" s="116"/>
      <c r="B27" s="13" t="s">
        <v>34</v>
      </c>
      <c r="C27" s="23" t="s">
        <v>31</v>
      </c>
      <c r="D27" s="19"/>
      <c r="E27" s="20">
        <f t="shared" si="0"/>
        <v>0</v>
      </c>
      <c r="F27" s="21">
        <f>D27 * 2.9540095902</f>
        <v>0</v>
      </c>
      <c r="G27" s="21">
        <f>D27 * 0.010760775</f>
        <v>0</v>
      </c>
      <c r="H27" s="21">
        <f>D27 * 0.0061105829</f>
        <v>0</v>
      </c>
    </row>
    <row r="28" spans="1:8" x14ac:dyDescent="0.3">
      <c r="A28" s="116"/>
      <c r="B28" s="13" t="s">
        <v>35</v>
      </c>
      <c r="C28" s="23" t="s">
        <v>36</v>
      </c>
      <c r="D28" s="19"/>
      <c r="E28" s="20">
        <f t="shared" si="0"/>
        <v>0</v>
      </c>
      <c r="F28" s="21">
        <f>D28 * 0.1929919556</f>
        <v>0</v>
      </c>
      <c r="G28" s="21">
        <f>D28 * 0.0004536</f>
        <v>0</v>
      </c>
      <c r="H28" s="21">
        <f>D28 * 0.00008586</f>
        <v>0</v>
      </c>
    </row>
    <row r="29" spans="1:8" ht="15" thickBot="1" x14ac:dyDescent="0.35">
      <c r="A29" s="116"/>
      <c r="B29" s="13" t="s">
        <v>35</v>
      </c>
      <c r="C29" s="23" t="s">
        <v>37</v>
      </c>
      <c r="D29" s="22"/>
      <c r="E29" s="20">
        <f t="shared" si="0"/>
        <v>0</v>
      </c>
      <c r="F29" s="21">
        <f>D29 * 53.6088765529</f>
        <v>0</v>
      </c>
      <c r="G29" s="21">
        <f>D29 * 0.126</f>
        <v>0</v>
      </c>
      <c r="H29" s="21">
        <f>D29 * 0.02385</f>
        <v>0</v>
      </c>
    </row>
    <row r="30" spans="1:8" ht="15" thickBot="1" x14ac:dyDescent="0.35">
      <c r="A30" s="115"/>
      <c r="B30" s="123" t="s">
        <v>38</v>
      </c>
      <c r="C30" s="119"/>
      <c r="D30" s="119"/>
      <c r="E30" s="119"/>
      <c r="F30" s="119"/>
      <c r="G30" s="119"/>
      <c r="H30" s="119"/>
    </row>
    <row r="31" spans="1:8" x14ac:dyDescent="0.3">
      <c r="A31" s="115"/>
      <c r="B31" s="13" t="s">
        <v>24</v>
      </c>
      <c r="C31" s="13" t="s">
        <v>25</v>
      </c>
      <c r="D31" s="15"/>
      <c r="E31" s="20">
        <f t="shared" ref="E31:E40" si="1">F31 + G31 + H31</f>
        <v>0</v>
      </c>
      <c r="F31" s="21">
        <f>D31 * 1.9432614177</f>
        <v>0</v>
      </c>
      <c r="G31" s="21">
        <f>D31 * 0.0056439531</f>
        <v>0</v>
      </c>
      <c r="H31" s="21">
        <f>D31 * 0.0080123977</f>
        <v>0</v>
      </c>
    </row>
    <row r="32" spans="1:8" x14ac:dyDescent="0.3">
      <c r="A32" s="115"/>
      <c r="B32" s="13" t="s">
        <v>26</v>
      </c>
      <c r="C32" s="13" t="s">
        <v>25</v>
      </c>
      <c r="D32" s="19"/>
      <c r="E32" s="20">
        <f t="shared" si="1"/>
        <v>0</v>
      </c>
      <c r="F32" s="21">
        <f>D32 * 2.6373603787</f>
        <v>0</v>
      </c>
      <c r="G32" s="21">
        <f>D32 * 0.007870951</f>
        <v>0</v>
      </c>
      <c r="H32" s="21">
        <f>D32 * 0.0111739393</f>
        <v>0</v>
      </c>
    </row>
    <row r="33" spans="1:10" x14ac:dyDescent="0.3">
      <c r="A33" s="115"/>
      <c r="B33" s="13" t="s">
        <v>27</v>
      </c>
      <c r="C33" s="13" t="s">
        <v>25</v>
      </c>
      <c r="D33" s="19"/>
      <c r="E33" s="20">
        <f t="shared" si="1"/>
        <v>0</v>
      </c>
      <c r="F33" s="21">
        <f>D33 * 1.9910094769</f>
        <v>0</v>
      </c>
      <c r="G33" s="21">
        <f>D33 * 0.0057572401</f>
        <v>0</v>
      </c>
      <c r="H33" s="21">
        <f>D33 * 0.0081732248</f>
        <v>0</v>
      </c>
    </row>
    <row r="34" spans="1:10" x14ac:dyDescent="0.3">
      <c r="A34" s="115"/>
      <c r="B34" s="13" t="s">
        <v>28</v>
      </c>
      <c r="C34" s="13" t="s">
        <v>25</v>
      </c>
      <c r="D34" s="19"/>
      <c r="E34" s="20">
        <f t="shared" si="1"/>
        <v>0</v>
      </c>
      <c r="F34" s="21">
        <f>D34 * 1.4204478726</f>
        <v>0</v>
      </c>
      <c r="G34" s="21">
        <f>D34 * 0.0040579866</f>
        <v>0</v>
      </c>
      <c r="H34" s="21">
        <f>D34 * 0.0057608917</f>
        <v>0</v>
      </c>
    </row>
    <row r="35" spans="1:10" x14ac:dyDescent="0.3">
      <c r="A35" s="115"/>
      <c r="B35" s="13" t="s">
        <v>30</v>
      </c>
      <c r="C35" s="13" t="s">
        <v>31</v>
      </c>
      <c r="D35" s="19"/>
      <c r="E35" s="20">
        <f t="shared" si="1"/>
        <v>0</v>
      </c>
      <c r="F35" s="21">
        <f>D35 * 2.6730865704</f>
        <v>0</v>
      </c>
      <c r="G35" s="21">
        <f>D35 * 0.003071669</f>
        <v>0</v>
      </c>
      <c r="H35" s="21">
        <f>D35 * 0.0058142305</f>
        <v>0</v>
      </c>
    </row>
    <row r="36" spans="1:10" x14ac:dyDescent="0.3">
      <c r="A36" s="115"/>
      <c r="B36" s="13" t="s">
        <v>32</v>
      </c>
      <c r="C36" s="13" t="s">
        <v>25</v>
      </c>
      <c r="D36" s="19"/>
      <c r="E36" s="20">
        <f t="shared" si="1"/>
        <v>0</v>
      </c>
      <c r="F36" s="21">
        <f>D36 * 2.963726347</f>
        <v>0</v>
      </c>
      <c r="G36" s="21">
        <f>D36 * 0.00133</f>
        <v>0</v>
      </c>
      <c r="H36" s="21">
        <f>D36 * 0.00125875</f>
        <v>0</v>
      </c>
    </row>
    <row r="37" spans="1:10" x14ac:dyDescent="0.3">
      <c r="A37" s="115"/>
      <c r="B37" s="13" t="s">
        <v>33</v>
      </c>
      <c r="C37" s="13" t="s">
        <v>31</v>
      </c>
      <c r="D37" s="19"/>
      <c r="E37" s="20">
        <f t="shared" si="1"/>
        <v>0</v>
      </c>
      <c r="F37" s="21">
        <f>D37 * 2.9875681713</f>
        <v>0</v>
      </c>
      <c r="G37" s="21">
        <f>D37 * 0.0032509957</f>
        <v>0</v>
      </c>
      <c r="H37" s="21">
        <f>D37 * 0.0061536705</f>
        <v>0</v>
      </c>
    </row>
    <row r="38" spans="1:10" x14ac:dyDescent="0.3">
      <c r="A38" s="115"/>
      <c r="B38" s="13" t="s">
        <v>34</v>
      </c>
      <c r="C38" s="13" t="s">
        <v>31</v>
      </c>
      <c r="D38" s="19"/>
      <c r="E38" s="20">
        <f t="shared" si="1"/>
        <v>0</v>
      </c>
      <c r="F38" s="21">
        <f>D38 * 2.9540095902</f>
        <v>0</v>
      </c>
      <c r="G38" s="21">
        <f>D38 * 0.0032282325</f>
        <v>0</v>
      </c>
      <c r="H38" s="21">
        <f>D38 * 0.0061105829</f>
        <v>0</v>
      </c>
    </row>
    <row r="39" spans="1:10" x14ac:dyDescent="0.3">
      <c r="A39" s="115"/>
      <c r="B39" s="13" t="s">
        <v>35</v>
      </c>
      <c r="C39" s="13" t="s">
        <v>36</v>
      </c>
      <c r="D39" s="19"/>
      <c r="E39" s="20">
        <f t="shared" si="1"/>
        <v>0</v>
      </c>
      <c r="F39" s="21">
        <f>D39 * 0.1929919556</f>
        <v>0</v>
      </c>
      <c r="G39" s="21">
        <f>D39 * 0.00009072</f>
        <v>0</v>
      </c>
      <c r="H39" s="21">
        <f>D39 * 0.00008586</f>
        <v>0</v>
      </c>
    </row>
    <row r="40" spans="1:10" ht="15" thickBot="1" x14ac:dyDescent="0.35">
      <c r="A40" s="117"/>
      <c r="B40" s="13" t="s">
        <v>35</v>
      </c>
      <c r="C40" s="13" t="s">
        <v>37</v>
      </c>
      <c r="D40" s="22"/>
      <c r="E40" s="24">
        <f t="shared" si="1"/>
        <v>0</v>
      </c>
      <c r="F40" s="25">
        <f>D40 * 53.6088765529</f>
        <v>0</v>
      </c>
      <c r="G40" s="25">
        <f>D40 * 0.0252</f>
        <v>0</v>
      </c>
      <c r="H40" s="25">
        <f>D40 * 0.02385</f>
        <v>0</v>
      </c>
    </row>
    <row r="41" spans="1:10" x14ac:dyDescent="0.3">
      <c r="B41" s="26"/>
      <c r="C41" s="26"/>
      <c r="D41" s="27" t="s">
        <v>39</v>
      </c>
      <c r="E41" s="28">
        <f>SUM(E15:E18,E20:E29,E31:E40)</f>
        <v>0</v>
      </c>
      <c r="F41" s="29">
        <f>SUM(F15:F18,F20:F29,F31:F40)</f>
        <v>0</v>
      </c>
      <c r="G41" s="29">
        <f>SUM(G15:G18,G20:G29,G31:G40)</f>
        <v>0</v>
      </c>
      <c r="H41" s="29">
        <f>SUM(H15:H18,H20:H29,H31:H40)</f>
        <v>0</v>
      </c>
    </row>
    <row r="43" spans="1:10" ht="31.8" thickBot="1" x14ac:dyDescent="0.35">
      <c r="A43" s="111" t="s">
        <v>40</v>
      </c>
      <c r="B43" s="111"/>
      <c r="C43" s="111"/>
      <c r="D43" s="111"/>
      <c r="E43" s="111"/>
      <c r="F43" s="111"/>
      <c r="G43" s="111"/>
      <c r="H43" s="111"/>
      <c r="J43" s="99" t="s">
        <v>626</v>
      </c>
    </row>
    <row r="44" spans="1:10" ht="15" thickBot="1" x14ac:dyDescent="0.35">
      <c r="A44" s="128" t="s">
        <v>18</v>
      </c>
      <c r="B44" s="128"/>
      <c r="C44" s="30" t="s">
        <v>19</v>
      </c>
      <c r="D44" s="31" t="s">
        <v>20</v>
      </c>
      <c r="E44" s="32" t="s">
        <v>12</v>
      </c>
      <c r="F44" s="32" t="s">
        <v>13</v>
      </c>
      <c r="G44" s="32" t="s">
        <v>14</v>
      </c>
      <c r="H44" s="32" t="s">
        <v>15</v>
      </c>
    </row>
    <row r="45" spans="1:10" ht="15" thickBot="1" x14ac:dyDescent="0.35">
      <c r="A45" s="124" t="s">
        <v>40</v>
      </c>
      <c r="B45" s="127" t="s">
        <v>41</v>
      </c>
      <c r="C45" s="127"/>
      <c r="D45" s="127"/>
      <c r="E45" s="127"/>
      <c r="F45" s="127"/>
      <c r="G45" s="127"/>
      <c r="H45" s="127"/>
    </row>
    <row r="46" spans="1:10" x14ac:dyDescent="0.3">
      <c r="A46" s="124"/>
      <c r="B46" s="13" t="s">
        <v>42</v>
      </c>
      <c r="C46" s="13" t="s">
        <v>31</v>
      </c>
      <c r="D46" s="15"/>
      <c r="E46" s="20">
        <f t="shared" ref="E46:E55" si="2">F46 + G46 + H46</f>
        <v>0</v>
      </c>
      <c r="F46" s="21">
        <f>D46 * 2.353256688</f>
        <v>0</v>
      </c>
      <c r="G46" s="21">
        <f>D46 * 0.0309358665</f>
        <v>0</v>
      </c>
      <c r="H46" s="21">
        <f>D46 * 0.070978395</f>
        <v>0</v>
      </c>
    </row>
    <row r="47" spans="1:10" x14ac:dyDescent="0.3">
      <c r="A47" s="124"/>
      <c r="B47" s="13" t="s">
        <v>43</v>
      </c>
      <c r="C47" s="13" t="s">
        <v>31</v>
      </c>
      <c r="D47" s="19"/>
      <c r="E47" s="20">
        <f t="shared" si="2"/>
        <v>0</v>
      </c>
      <c r="F47" s="21">
        <f>D47 * 2.3554542729</f>
        <v>0</v>
      </c>
      <c r="G47" s="21">
        <f>D47 * 0.0308831985</f>
        <v>0</v>
      </c>
      <c r="H47" s="21">
        <f>D47 * 0.070857555</f>
        <v>0</v>
      </c>
    </row>
    <row r="48" spans="1:10" x14ac:dyDescent="0.3">
      <c r="A48" s="124"/>
      <c r="B48" s="13" t="s">
        <v>30</v>
      </c>
      <c r="C48" s="13" t="s">
        <v>31</v>
      </c>
      <c r="D48" s="19"/>
      <c r="E48" s="20">
        <f t="shared" si="2"/>
        <v>0</v>
      </c>
      <c r="F48" s="21">
        <f>D48 * 2.6730865704</f>
        <v>0</v>
      </c>
      <c r="G48" s="21">
        <f>D48 * 0.0039931696</f>
        <v>0</v>
      </c>
      <c r="H48" s="21">
        <f>D48 * 0.0377924984</f>
        <v>0</v>
      </c>
    </row>
    <row r="49" spans="1:10" x14ac:dyDescent="0.3">
      <c r="A49" s="124"/>
      <c r="B49" s="13" t="s">
        <v>32</v>
      </c>
      <c r="C49" s="13" t="s">
        <v>31</v>
      </c>
      <c r="D49" s="19"/>
      <c r="E49" s="20">
        <f t="shared" si="2"/>
        <v>0</v>
      </c>
      <c r="F49" s="21">
        <f>D49 * 1.573145945</f>
        <v>0</v>
      </c>
      <c r="G49" s="21">
        <f>D49 * 0.043769768</f>
        <v>0</v>
      </c>
      <c r="H49" s="21">
        <f>D49 * 0.001336289</f>
        <v>0</v>
      </c>
    </row>
    <row r="50" spans="1:10" x14ac:dyDescent="0.3">
      <c r="A50" s="124"/>
      <c r="B50" s="13" t="s">
        <v>33</v>
      </c>
      <c r="C50" s="13" t="s">
        <v>31</v>
      </c>
      <c r="D50" s="19"/>
      <c r="E50" s="20">
        <f t="shared" si="2"/>
        <v>0</v>
      </c>
      <c r="F50" s="21">
        <f>D50 * 2.9875681713</f>
        <v>0</v>
      </c>
      <c r="G50" s="21">
        <f>D50 * 0.0075856567</f>
        <v>0</v>
      </c>
      <c r="H50" s="21">
        <f>D50 * 0.020512235</f>
        <v>0</v>
      </c>
    </row>
    <row r="51" spans="1:10" x14ac:dyDescent="0.3">
      <c r="A51" s="124"/>
      <c r="B51" s="13" t="s">
        <v>34</v>
      </c>
      <c r="C51" s="13" t="s">
        <v>31</v>
      </c>
      <c r="D51" s="19"/>
      <c r="E51" s="20">
        <f t="shared" si="2"/>
        <v>0</v>
      </c>
      <c r="F51" s="21">
        <f>D51 * 2.9540095902</f>
        <v>0</v>
      </c>
      <c r="G51" s="21">
        <f>D51 * 0.0075325425</f>
        <v>0</v>
      </c>
      <c r="H51" s="21">
        <f>D51 * 0.0203686098</f>
        <v>0</v>
      </c>
    </row>
    <row r="52" spans="1:10" x14ac:dyDescent="0.3">
      <c r="A52" s="124"/>
      <c r="B52" s="13" t="s">
        <v>44</v>
      </c>
      <c r="C52" s="13" t="s">
        <v>37</v>
      </c>
      <c r="D52" s="19"/>
      <c r="E52" s="20">
        <f t="shared" si="2"/>
        <v>0</v>
      </c>
      <c r="F52" s="21">
        <f>D52 * 68.3282207765</f>
        <v>0</v>
      </c>
      <c r="G52" s="21">
        <f>D52 * 0.0132998835</f>
        <v>0</v>
      </c>
      <c r="H52" s="21">
        <f>D52 * 0.5034955912</f>
        <v>0</v>
      </c>
    </row>
    <row r="53" spans="1:10" x14ac:dyDescent="0.3">
      <c r="A53" s="124"/>
      <c r="B53" s="13" t="s">
        <v>44</v>
      </c>
      <c r="C53" s="13" t="s">
        <v>31</v>
      </c>
      <c r="D53" s="19"/>
      <c r="E53" s="20">
        <f t="shared" si="2"/>
        <v>0</v>
      </c>
      <c r="F53" s="21">
        <f>D53 * 2.5414000134</f>
        <v>0</v>
      </c>
      <c r="G53" s="21">
        <f>D53 * 0.0004946759</f>
        <v>0</v>
      </c>
      <c r="H53" s="21">
        <f>D53 * 0.0187270163</f>
        <v>0</v>
      </c>
    </row>
    <row r="54" spans="1:10" x14ac:dyDescent="0.3">
      <c r="A54" s="124"/>
      <c r="B54" s="13" t="s">
        <v>45</v>
      </c>
      <c r="C54" s="13" t="s">
        <v>37</v>
      </c>
      <c r="D54" s="19"/>
      <c r="E54" s="20">
        <f t="shared" si="2"/>
        <v>0</v>
      </c>
      <c r="F54" s="21">
        <f>D54 * 65.89149519</f>
        <v>0</v>
      </c>
      <c r="G54" s="21">
        <f>D54 * 0.0133</f>
        <v>0</v>
      </c>
      <c r="H54" s="21">
        <f>D54 * 0.5035</f>
        <v>0</v>
      </c>
    </row>
    <row r="55" spans="1:10" ht="15" thickBot="1" x14ac:dyDescent="0.35">
      <c r="A55" s="124"/>
      <c r="B55" s="13" t="s">
        <v>45</v>
      </c>
      <c r="C55" s="13" t="s">
        <v>31</v>
      </c>
      <c r="D55" s="22"/>
      <c r="E55" s="20">
        <f t="shared" si="2"/>
        <v>0</v>
      </c>
      <c r="F55" s="21">
        <f>D55 * 2.2315340893</f>
        <v>0</v>
      </c>
      <c r="G55" s="21">
        <f>D55 * 0.0004504284</f>
        <v>0</v>
      </c>
      <c r="H55" s="21">
        <f>D55 * 0.0170519338</f>
        <v>0</v>
      </c>
    </row>
    <row r="56" spans="1:10" x14ac:dyDescent="0.3">
      <c r="B56" s="26"/>
      <c r="C56" s="26"/>
      <c r="D56" s="27" t="s">
        <v>39</v>
      </c>
      <c r="E56" s="34">
        <f>SUM(E46:E55)</f>
        <v>0</v>
      </c>
      <c r="F56" s="29">
        <f>SUM(F46:F55)</f>
        <v>0</v>
      </c>
      <c r="G56" s="29">
        <f>SUM(G46:G55)</f>
        <v>0</v>
      </c>
      <c r="H56" s="29">
        <f>SUM(H46:H55)</f>
        <v>0</v>
      </c>
    </row>
    <row r="58" spans="1:10" ht="31.8" thickBot="1" x14ac:dyDescent="0.35">
      <c r="A58" s="111" t="s">
        <v>46</v>
      </c>
      <c r="B58" s="111"/>
      <c r="C58" s="111"/>
      <c r="D58" s="111"/>
      <c r="E58" s="111"/>
      <c r="F58" s="111"/>
      <c r="G58" s="111"/>
      <c r="H58" s="111"/>
      <c r="J58" s="99" t="s">
        <v>632</v>
      </c>
    </row>
    <row r="59" spans="1:10" ht="15" thickBot="1" x14ac:dyDescent="0.35">
      <c r="A59" s="128" t="s">
        <v>18</v>
      </c>
      <c r="B59" s="128"/>
      <c r="C59" s="30" t="s">
        <v>19</v>
      </c>
      <c r="D59" s="31" t="s">
        <v>20</v>
      </c>
      <c r="E59" s="32" t="s">
        <v>12</v>
      </c>
      <c r="F59" s="32" t="s">
        <v>47</v>
      </c>
      <c r="G59" s="32" t="s">
        <v>14</v>
      </c>
      <c r="H59" s="32" t="s">
        <v>15</v>
      </c>
    </row>
    <row r="60" spans="1:10" ht="15" thickBot="1" x14ac:dyDescent="0.35">
      <c r="A60" s="124" t="s">
        <v>46</v>
      </c>
      <c r="B60" s="126" t="s">
        <v>48</v>
      </c>
      <c r="C60" s="127"/>
      <c r="D60" s="127"/>
      <c r="E60" s="127"/>
      <c r="F60" s="127"/>
      <c r="G60" s="127"/>
      <c r="H60" s="127"/>
    </row>
    <row r="61" spans="1:10" x14ac:dyDescent="0.3">
      <c r="A61" s="125"/>
      <c r="B61" s="13" t="s">
        <v>49</v>
      </c>
      <c r="C61" s="23" t="s">
        <v>37</v>
      </c>
      <c r="D61" s="15"/>
      <c r="E61" s="20">
        <f t="shared" ref="E61:E66" si="3">G61 + H61</f>
        <v>0</v>
      </c>
      <c r="F61" s="36">
        <f>D61*99.0747457627</f>
        <v>0</v>
      </c>
      <c r="G61" s="21">
        <f>D61 * 0.7777830508</f>
        <v>0</v>
      </c>
      <c r="H61" s="21">
        <f>D61 * 3.1080457627</f>
        <v>0</v>
      </c>
    </row>
    <row r="62" spans="1:10" x14ac:dyDescent="0.3">
      <c r="A62" s="125"/>
      <c r="B62" s="13" t="s">
        <v>49</v>
      </c>
      <c r="C62" s="23" t="s">
        <v>31</v>
      </c>
      <c r="D62" s="19"/>
      <c r="E62" s="20">
        <f t="shared" si="3"/>
        <v>0</v>
      </c>
      <c r="F62" s="36">
        <f>D62*2.338164</f>
        <v>0</v>
      </c>
      <c r="G62" s="21">
        <f>D62 * 0.01835568</f>
        <v>0</v>
      </c>
      <c r="H62" s="21">
        <f>D62 * 0.07334988</f>
        <v>0</v>
      </c>
    </row>
    <row r="63" spans="1:10" x14ac:dyDescent="0.3">
      <c r="A63" s="125"/>
      <c r="B63" s="13" t="s">
        <v>50</v>
      </c>
      <c r="C63" s="23" t="s">
        <v>37</v>
      </c>
      <c r="D63" s="19"/>
      <c r="E63" s="20">
        <f t="shared" si="3"/>
        <v>0</v>
      </c>
      <c r="F63" s="36">
        <f>D63*43.5829248555</f>
        <v>0</v>
      </c>
      <c r="G63" s="21">
        <f>D63 * 0.3265803468</f>
        <v>0</v>
      </c>
      <c r="H63" s="21">
        <f>D63 * 0.6361998988</f>
        <v>0</v>
      </c>
    </row>
    <row r="64" spans="1:10" x14ac:dyDescent="0.3">
      <c r="A64" s="125"/>
      <c r="B64" s="13" t="s">
        <v>50</v>
      </c>
      <c r="C64" s="23" t="s">
        <v>31</v>
      </c>
      <c r="D64" s="19"/>
      <c r="E64" s="20">
        <f t="shared" si="3"/>
        <v>0</v>
      </c>
      <c r="F64" s="36">
        <f>D64*1.587336</f>
        <v>0</v>
      </c>
      <c r="G64" s="21">
        <f>D64 * 0.0118944</f>
        <v>0</v>
      </c>
      <c r="H64" s="21">
        <f>D64 * 0.02317107</f>
        <v>0</v>
      </c>
    </row>
    <row r="65" spans="1:8" x14ac:dyDescent="0.3">
      <c r="A65" s="125"/>
      <c r="B65" s="13" t="s">
        <v>51</v>
      </c>
      <c r="C65" s="23" t="s">
        <v>25</v>
      </c>
      <c r="D65" s="19"/>
      <c r="E65" s="20">
        <f t="shared" si="3"/>
        <v>0</v>
      </c>
      <c r="F65" s="36">
        <f>D65*0.861564</f>
        <v>0</v>
      </c>
      <c r="G65" s="21">
        <f>D65 * 0.0647136</f>
        <v>0</v>
      </c>
      <c r="H65" s="21">
        <f>D65 * 0.00816624</f>
        <v>0</v>
      </c>
    </row>
    <row r="66" spans="1:8" ht="15" thickBot="1" x14ac:dyDescent="0.35">
      <c r="A66" s="125"/>
      <c r="B66" s="13" t="s">
        <v>52</v>
      </c>
      <c r="C66" s="23" t="s">
        <v>25</v>
      </c>
      <c r="D66" s="22"/>
      <c r="E66" s="20">
        <f t="shared" si="3"/>
        <v>0</v>
      </c>
      <c r="F66" s="36">
        <f>D66*0.861564</f>
        <v>0</v>
      </c>
      <c r="G66" s="21">
        <f>D66 * 0.00647136</f>
        <v>0</v>
      </c>
      <c r="H66" s="21">
        <f>D66 * 0.00816624</f>
        <v>0</v>
      </c>
    </row>
    <row r="67" spans="1:8" x14ac:dyDescent="0.3">
      <c r="D67" s="27" t="s">
        <v>39</v>
      </c>
      <c r="E67" s="34">
        <f>SUM(E61:E66)</f>
        <v>0</v>
      </c>
      <c r="F67" s="29">
        <f>SUM(F61:F66)</f>
        <v>0</v>
      </c>
      <c r="G67" s="29">
        <f>SUM(G61:G66)</f>
        <v>0</v>
      </c>
      <c r="H67" s="29">
        <f>SUM(H61:H66)</f>
        <v>0</v>
      </c>
    </row>
  </sheetData>
  <mergeCells count="20">
    <mergeCell ref="A60:A66"/>
    <mergeCell ref="B60:H60"/>
    <mergeCell ref="A43:H43"/>
    <mergeCell ref="A44:B44"/>
    <mergeCell ref="A45:A55"/>
    <mergeCell ref="B45:H45"/>
    <mergeCell ref="A58:H58"/>
    <mergeCell ref="A59:B59"/>
    <mergeCell ref="A12:H12"/>
    <mergeCell ref="A13:B13"/>
    <mergeCell ref="A14:A40"/>
    <mergeCell ref="B14:H14"/>
    <mergeCell ref="B19:H19"/>
    <mergeCell ref="B30:H30"/>
    <mergeCell ref="A10:D10"/>
    <mergeCell ref="A2:T2"/>
    <mergeCell ref="A5:H5"/>
    <mergeCell ref="A6:H6"/>
    <mergeCell ref="A8:D8"/>
    <mergeCell ref="A9:D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B1D1-7115-4552-AC45-4F8AFBD2C32C}">
  <sheetPr>
    <tabColor theme="9" tint="0.39997558519241921"/>
  </sheetPr>
  <dimension ref="A1:U121"/>
  <sheetViews>
    <sheetView showGridLines="0" topLeftCell="A37" workbookViewId="0">
      <selection activeCell="B65" sqref="B65"/>
    </sheetView>
  </sheetViews>
  <sheetFormatPr defaultColWidth="11.44140625" defaultRowHeight="14.4" x14ac:dyDescent="0.3"/>
  <cols>
    <col min="1" max="1" width="45.109375" style="2" customWidth="1"/>
    <col min="2" max="2" width="34.6640625" style="2" customWidth="1"/>
    <col min="3" max="3" width="33" style="2" customWidth="1"/>
    <col min="4" max="4" width="7" style="2" customWidth="1"/>
    <col min="5" max="5" width="16" style="2" customWidth="1"/>
    <col min="6" max="6" width="15.44140625" style="2" customWidth="1"/>
    <col min="7" max="7" width="6.33203125" style="2" customWidth="1"/>
    <col min="8" max="8" width="64" style="2" customWidth="1"/>
    <col min="9" max="100" width="10.6640625" style="2" customWidth="1"/>
    <col min="101" max="16384" width="11.44140625" style="2"/>
  </cols>
  <sheetData>
    <row r="1" spans="1:21" ht="31.2" x14ac:dyDescent="0.3">
      <c r="A1" s="1" t="s">
        <v>7</v>
      </c>
    </row>
    <row r="2" spans="1:21" ht="23.4" x14ac:dyDescent="0.3">
      <c r="A2" s="130" t="s">
        <v>72</v>
      </c>
      <c r="B2" s="102"/>
      <c r="C2" s="102"/>
      <c r="D2" s="102"/>
      <c r="E2" s="102"/>
      <c r="F2" s="102"/>
      <c r="G2" s="102"/>
      <c r="H2" s="102"/>
      <c r="I2" s="102"/>
      <c r="J2" s="102"/>
      <c r="K2" s="102"/>
      <c r="L2" s="102"/>
      <c r="M2" s="102"/>
      <c r="N2" s="102"/>
      <c r="O2" s="102"/>
      <c r="P2" s="102"/>
      <c r="Q2" s="102"/>
      <c r="R2" s="102"/>
      <c r="S2" s="102"/>
      <c r="T2" s="102"/>
      <c r="U2" s="102"/>
    </row>
    <row r="4" spans="1:21" ht="31.2" x14ac:dyDescent="0.3">
      <c r="A4" s="1" t="s">
        <v>73</v>
      </c>
    </row>
    <row r="5" spans="1:21" x14ac:dyDescent="0.3">
      <c r="A5" s="131" t="s">
        <v>10</v>
      </c>
      <c r="B5" s="131"/>
      <c r="C5" s="131"/>
      <c r="D5" s="131"/>
      <c r="E5" s="131"/>
      <c r="F5" s="131"/>
    </row>
    <row r="6" spans="1:21" ht="16.5" customHeight="1" x14ac:dyDescent="0.3">
      <c r="A6" s="132" t="s">
        <v>55</v>
      </c>
      <c r="B6" s="133"/>
      <c r="C6" s="133"/>
      <c r="D6" s="133"/>
      <c r="E6" s="133"/>
      <c r="F6" s="133"/>
    </row>
    <row r="8" spans="1:21" ht="64.2" customHeight="1" thickBot="1" x14ac:dyDescent="0.35">
      <c r="A8" s="111" t="s">
        <v>74</v>
      </c>
      <c r="B8" s="111"/>
      <c r="C8" s="111"/>
      <c r="D8" s="111"/>
      <c r="E8" s="111"/>
      <c r="F8" s="111"/>
      <c r="H8" s="99" t="s">
        <v>627</v>
      </c>
    </row>
    <row r="9" spans="1:21" ht="15" thickBot="1" x14ac:dyDescent="0.35">
      <c r="A9" s="128" t="s">
        <v>0</v>
      </c>
      <c r="B9" s="128"/>
      <c r="C9" s="112"/>
      <c r="D9" s="39" t="s">
        <v>19</v>
      </c>
      <c r="E9" s="11" t="s">
        <v>20</v>
      </c>
      <c r="F9" s="32" t="s">
        <v>12</v>
      </c>
    </row>
    <row r="10" spans="1:21" x14ac:dyDescent="0.3">
      <c r="A10" s="129" t="s">
        <v>75</v>
      </c>
      <c r="B10" s="33" t="s">
        <v>76</v>
      </c>
      <c r="C10" s="56" t="s">
        <v>77</v>
      </c>
      <c r="D10" s="23" t="s">
        <v>25</v>
      </c>
      <c r="E10" s="42"/>
      <c r="F10" s="16">
        <f>E10 * 1</f>
        <v>0</v>
      </c>
    </row>
    <row r="11" spans="1:21" x14ac:dyDescent="0.3">
      <c r="A11" s="129"/>
      <c r="B11" s="33" t="s">
        <v>78</v>
      </c>
      <c r="C11" s="56" t="s">
        <v>79</v>
      </c>
      <c r="D11" s="23" t="s">
        <v>25</v>
      </c>
      <c r="E11" s="19"/>
      <c r="F11" s="16">
        <f>E11 * 0.02</f>
        <v>0</v>
      </c>
    </row>
    <row r="12" spans="1:21" x14ac:dyDescent="0.3">
      <c r="A12" s="129"/>
      <c r="B12" s="33" t="s">
        <v>80</v>
      </c>
      <c r="C12" s="56" t="s">
        <v>81</v>
      </c>
      <c r="D12" s="23" t="s">
        <v>25</v>
      </c>
      <c r="E12" s="19"/>
      <c r="F12" s="16">
        <f>E12 * 3</f>
        <v>0</v>
      </c>
    </row>
    <row r="13" spans="1:21" x14ac:dyDescent="0.3">
      <c r="A13" s="129"/>
      <c r="B13" s="33" t="s">
        <v>82</v>
      </c>
      <c r="C13" s="56" t="s">
        <v>83</v>
      </c>
      <c r="D13" s="23" t="s">
        <v>25</v>
      </c>
      <c r="E13" s="19"/>
      <c r="F13" s="16">
        <f>E13 * 265</f>
        <v>0</v>
      </c>
    </row>
    <row r="14" spans="1:21" x14ac:dyDescent="0.3">
      <c r="A14" s="129"/>
      <c r="B14" s="33" t="s">
        <v>84</v>
      </c>
      <c r="C14" s="56" t="s">
        <v>85</v>
      </c>
      <c r="D14" s="23" t="s">
        <v>25</v>
      </c>
      <c r="E14" s="19"/>
      <c r="F14" s="16">
        <f>E14 * 0.006</f>
        <v>0</v>
      </c>
    </row>
    <row r="15" spans="1:21" x14ac:dyDescent="0.3">
      <c r="A15" s="129" t="s">
        <v>86</v>
      </c>
      <c r="B15" s="33" t="s">
        <v>87</v>
      </c>
      <c r="C15" s="56" t="s">
        <v>88</v>
      </c>
      <c r="D15" s="23" t="s">
        <v>25</v>
      </c>
      <c r="E15" s="19"/>
      <c r="F15" s="16">
        <f>E15 * 4660</f>
        <v>0</v>
      </c>
    </row>
    <row r="16" spans="1:21" x14ac:dyDescent="0.3">
      <c r="A16" s="129"/>
      <c r="B16" s="33" t="s">
        <v>89</v>
      </c>
      <c r="C16" s="56" t="s">
        <v>90</v>
      </c>
      <c r="D16" s="23" t="s">
        <v>25</v>
      </c>
      <c r="E16" s="19"/>
      <c r="F16" s="16">
        <f>E16 * 10200</f>
        <v>0</v>
      </c>
    </row>
    <row r="17" spans="1:6" x14ac:dyDescent="0.3">
      <c r="A17" s="129"/>
      <c r="B17" s="33" t="s">
        <v>91</v>
      </c>
      <c r="C17" s="56" t="s">
        <v>92</v>
      </c>
      <c r="D17" s="23" t="s">
        <v>25</v>
      </c>
      <c r="E17" s="19"/>
      <c r="F17" s="16">
        <f>E17 * 13900</f>
        <v>0</v>
      </c>
    </row>
    <row r="18" spans="1:6" x14ac:dyDescent="0.3">
      <c r="A18" s="129"/>
      <c r="B18" s="33" t="s">
        <v>93</v>
      </c>
      <c r="C18" s="56" t="s">
        <v>94</v>
      </c>
      <c r="D18" s="23" t="s">
        <v>25</v>
      </c>
      <c r="E18" s="19"/>
      <c r="F18" s="16">
        <f>E18 * 5820</f>
        <v>0</v>
      </c>
    </row>
    <row r="19" spans="1:6" x14ac:dyDescent="0.3">
      <c r="A19" s="129"/>
      <c r="B19" s="33" t="s">
        <v>95</v>
      </c>
      <c r="C19" s="56" t="s">
        <v>96</v>
      </c>
      <c r="D19" s="23" t="s">
        <v>25</v>
      </c>
      <c r="E19" s="19"/>
      <c r="F19" s="16">
        <f>E19 * 8590</f>
        <v>0</v>
      </c>
    </row>
    <row r="20" spans="1:6" x14ac:dyDescent="0.3">
      <c r="A20" s="129"/>
      <c r="B20" s="33" t="s">
        <v>97</v>
      </c>
      <c r="C20" s="56" t="s">
        <v>98</v>
      </c>
      <c r="D20" s="23" t="s">
        <v>25</v>
      </c>
      <c r="E20" s="19"/>
      <c r="F20" s="16">
        <f>E20 * 7670</f>
        <v>0</v>
      </c>
    </row>
    <row r="21" spans="1:6" x14ac:dyDescent="0.3">
      <c r="A21" s="129"/>
      <c r="B21" s="33" t="s">
        <v>99</v>
      </c>
      <c r="C21" s="56" t="s">
        <v>100</v>
      </c>
      <c r="D21" s="23" t="s">
        <v>25</v>
      </c>
      <c r="E21" s="19"/>
      <c r="F21" s="16">
        <f>E21 * 6290</f>
        <v>0</v>
      </c>
    </row>
    <row r="22" spans="1:6" x14ac:dyDescent="0.3">
      <c r="A22" s="129"/>
      <c r="B22" s="33" t="s">
        <v>101</v>
      </c>
      <c r="C22" s="56" t="s">
        <v>102</v>
      </c>
      <c r="D22" s="23" t="s">
        <v>25</v>
      </c>
      <c r="E22" s="19"/>
      <c r="F22" s="16">
        <f>E22 * 1750</f>
        <v>0</v>
      </c>
    </row>
    <row r="23" spans="1:6" x14ac:dyDescent="0.3">
      <c r="A23" s="129"/>
      <c r="B23" s="33" t="s">
        <v>103</v>
      </c>
      <c r="C23" s="56" t="s">
        <v>104</v>
      </c>
      <c r="D23" s="23" t="s">
        <v>25</v>
      </c>
      <c r="E23" s="19"/>
      <c r="F23" s="16">
        <f>E23 * 1470</f>
        <v>0</v>
      </c>
    </row>
    <row r="24" spans="1:6" x14ac:dyDescent="0.3">
      <c r="A24" s="129"/>
      <c r="B24" s="33" t="s">
        <v>105</v>
      </c>
      <c r="C24" s="56" t="s">
        <v>106</v>
      </c>
      <c r="D24" s="23" t="s">
        <v>25</v>
      </c>
      <c r="E24" s="19"/>
      <c r="F24" s="16">
        <f>E24 * 1730</f>
        <v>0</v>
      </c>
    </row>
    <row r="25" spans="1:6" x14ac:dyDescent="0.3">
      <c r="A25" s="129"/>
      <c r="B25" s="33" t="s">
        <v>107</v>
      </c>
      <c r="C25" s="56" t="s">
        <v>108</v>
      </c>
      <c r="D25" s="23" t="s">
        <v>25</v>
      </c>
      <c r="E25" s="19"/>
      <c r="F25" s="16">
        <f>E25 * 2</f>
        <v>0</v>
      </c>
    </row>
    <row r="26" spans="1:6" x14ac:dyDescent="0.3">
      <c r="A26" s="129"/>
      <c r="B26" s="33" t="s">
        <v>109</v>
      </c>
      <c r="C26" s="56" t="s">
        <v>110</v>
      </c>
      <c r="D26" s="23" t="s">
        <v>25</v>
      </c>
      <c r="E26" s="19"/>
      <c r="F26" s="16">
        <f>E26 * 160</f>
        <v>0</v>
      </c>
    </row>
    <row r="27" spans="1:6" x14ac:dyDescent="0.3">
      <c r="A27" s="129"/>
      <c r="B27" s="33" t="s">
        <v>111</v>
      </c>
      <c r="C27" s="56" t="s">
        <v>112</v>
      </c>
      <c r="D27" s="23" t="s">
        <v>25</v>
      </c>
      <c r="E27" s="19"/>
      <c r="F27" s="16">
        <f>E27 * 148</f>
        <v>0</v>
      </c>
    </row>
    <row r="28" spans="1:6" x14ac:dyDescent="0.3">
      <c r="A28" s="129"/>
      <c r="B28" s="33" t="s">
        <v>113</v>
      </c>
      <c r="C28" s="56" t="s">
        <v>114</v>
      </c>
      <c r="D28" s="23" t="s">
        <v>25</v>
      </c>
      <c r="E28" s="19"/>
      <c r="F28" s="16">
        <f>E28 * 1760</f>
        <v>0</v>
      </c>
    </row>
    <row r="29" spans="1:6" x14ac:dyDescent="0.3">
      <c r="A29" s="129"/>
      <c r="B29" s="33" t="s">
        <v>115</v>
      </c>
      <c r="C29" s="56" t="s">
        <v>116</v>
      </c>
      <c r="D29" s="23" t="s">
        <v>25</v>
      </c>
      <c r="E29" s="19"/>
      <c r="F29" s="16">
        <f>E29 * 79</f>
        <v>0</v>
      </c>
    </row>
    <row r="30" spans="1:6" x14ac:dyDescent="0.3">
      <c r="A30" s="129"/>
      <c r="B30" s="33" t="s">
        <v>117</v>
      </c>
      <c r="C30" s="56" t="s">
        <v>118</v>
      </c>
      <c r="D30" s="23" t="s">
        <v>25</v>
      </c>
      <c r="E30" s="19"/>
      <c r="F30" s="16">
        <f>E30 * 527</f>
        <v>0</v>
      </c>
    </row>
    <row r="31" spans="1:6" x14ac:dyDescent="0.3">
      <c r="A31" s="129"/>
      <c r="B31" s="33" t="s">
        <v>119</v>
      </c>
      <c r="C31" s="56" t="s">
        <v>120</v>
      </c>
      <c r="D31" s="23" t="s">
        <v>25</v>
      </c>
      <c r="E31" s="19"/>
      <c r="F31" s="16">
        <f>E31 * 782</f>
        <v>0</v>
      </c>
    </row>
    <row r="32" spans="1:6" x14ac:dyDescent="0.3">
      <c r="A32" s="129"/>
      <c r="B32" s="33" t="s">
        <v>121</v>
      </c>
      <c r="C32" s="56" t="s">
        <v>122</v>
      </c>
      <c r="D32" s="23" t="s">
        <v>25</v>
      </c>
      <c r="E32" s="19"/>
      <c r="F32" s="16">
        <f>E32 * 1980</f>
        <v>0</v>
      </c>
    </row>
    <row r="33" spans="1:6" x14ac:dyDescent="0.3">
      <c r="A33" s="129"/>
      <c r="B33" s="33" t="s">
        <v>123</v>
      </c>
      <c r="C33" s="56" t="s">
        <v>124</v>
      </c>
      <c r="D33" s="23" t="s">
        <v>25</v>
      </c>
      <c r="E33" s="19"/>
      <c r="F33" s="16">
        <f>E33 * 127</f>
        <v>0</v>
      </c>
    </row>
    <row r="34" spans="1:6" x14ac:dyDescent="0.3">
      <c r="A34" s="129"/>
      <c r="B34" s="33" t="s">
        <v>125</v>
      </c>
      <c r="C34" s="56" t="s">
        <v>126</v>
      </c>
      <c r="D34" s="23" t="s">
        <v>25</v>
      </c>
      <c r="E34" s="19"/>
      <c r="F34" s="16">
        <f>E34 * 525</f>
        <v>0</v>
      </c>
    </row>
    <row r="35" spans="1:6" x14ac:dyDescent="0.3">
      <c r="A35" s="129" t="s">
        <v>127</v>
      </c>
      <c r="B35" s="33" t="s">
        <v>128</v>
      </c>
      <c r="C35" s="56" t="s">
        <v>129</v>
      </c>
      <c r="D35" s="23" t="s">
        <v>25</v>
      </c>
      <c r="E35" s="19"/>
      <c r="F35" s="16">
        <f>E35 * 12400</f>
        <v>0</v>
      </c>
    </row>
    <row r="36" spans="1:6" x14ac:dyDescent="0.3">
      <c r="A36" s="129"/>
      <c r="B36" s="33" t="s">
        <v>130</v>
      </c>
      <c r="C36" s="56" t="s">
        <v>131</v>
      </c>
      <c r="D36" s="23" t="s">
        <v>25</v>
      </c>
      <c r="E36" s="19"/>
      <c r="F36" s="16">
        <f>E36 * 677</f>
        <v>0</v>
      </c>
    </row>
    <row r="37" spans="1:6" x14ac:dyDescent="0.3">
      <c r="A37" s="129"/>
      <c r="B37" s="33" t="s">
        <v>132</v>
      </c>
      <c r="C37" s="56" t="s">
        <v>133</v>
      </c>
      <c r="D37" s="23" t="s">
        <v>25</v>
      </c>
      <c r="E37" s="19"/>
      <c r="F37" s="16">
        <f>E37 * 116</f>
        <v>0</v>
      </c>
    </row>
    <row r="38" spans="1:6" x14ac:dyDescent="0.3">
      <c r="A38" s="129"/>
      <c r="B38" s="33" t="s">
        <v>134</v>
      </c>
      <c r="C38" s="56" t="s">
        <v>135</v>
      </c>
      <c r="D38" s="23" t="s">
        <v>25</v>
      </c>
      <c r="E38" s="19"/>
      <c r="F38" s="16">
        <f>E38 * 3170</f>
        <v>0</v>
      </c>
    </row>
    <row r="39" spans="1:6" x14ac:dyDescent="0.3">
      <c r="A39" s="129"/>
      <c r="B39" s="33" t="s">
        <v>136</v>
      </c>
      <c r="C39" s="56" t="s">
        <v>137</v>
      </c>
      <c r="D39" s="23" t="s">
        <v>25</v>
      </c>
      <c r="E39" s="19"/>
      <c r="F39" s="16">
        <f>E39 * 1120</f>
        <v>0</v>
      </c>
    </row>
    <row r="40" spans="1:6" x14ac:dyDescent="0.3">
      <c r="A40" s="129"/>
      <c r="B40" s="33" t="s">
        <v>138</v>
      </c>
      <c r="C40" s="56" t="s">
        <v>139</v>
      </c>
      <c r="D40" s="23" t="s">
        <v>25</v>
      </c>
      <c r="E40" s="19"/>
      <c r="F40" s="16">
        <f>E40 * 1300</f>
        <v>0</v>
      </c>
    </row>
    <row r="41" spans="1:6" x14ac:dyDescent="0.3">
      <c r="A41" s="129"/>
      <c r="B41" s="33" t="s">
        <v>140</v>
      </c>
      <c r="C41" s="56" t="s">
        <v>141</v>
      </c>
      <c r="D41" s="23" t="s">
        <v>25</v>
      </c>
      <c r="E41" s="19"/>
      <c r="F41" s="16">
        <f>E41 * 328</f>
        <v>0</v>
      </c>
    </row>
    <row r="42" spans="1:6" x14ac:dyDescent="0.3">
      <c r="A42" s="129"/>
      <c r="B42" s="33" t="s">
        <v>142</v>
      </c>
      <c r="C42" s="56" t="s">
        <v>143</v>
      </c>
      <c r="D42" s="23" t="s">
        <v>25</v>
      </c>
      <c r="E42" s="19"/>
      <c r="F42" s="16">
        <f>E42 * 4800</f>
        <v>0</v>
      </c>
    </row>
    <row r="43" spans="1:6" x14ac:dyDescent="0.3">
      <c r="A43" s="129"/>
      <c r="B43" s="33" t="s">
        <v>144</v>
      </c>
      <c r="C43" s="56" t="s">
        <v>145</v>
      </c>
      <c r="D43" s="23" t="s">
        <v>25</v>
      </c>
      <c r="E43" s="19"/>
      <c r="F43" s="16">
        <f>E43 * 16</f>
        <v>0</v>
      </c>
    </row>
    <row r="44" spans="1:6" x14ac:dyDescent="0.3">
      <c r="A44" s="129"/>
      <c r="B44" s="33" t="s">
        <v>146</v>
      </c>
      <c r="C44" s="56" t="s">
        <v>147</v>
      </c>
      <c r="D44" s="23" t="s">
        <v>25</v>
      </c>
      <c r="E44" s="19"/>
      <c r="F44" s="16">
        <f>E44 * 138</f>
        <v>0</v>
      </c>
    </row>
    <row r="45" spans="1:6" x14ac:dyDescent="0.3">
      <c r="A45" s="129"/>
      <c r="B45" s="33" t="s">
        <v>148</v>
      </c>
      <c r="C45" s="56" t="s">
        <v>149</v>
      </c>
      <c r="D45" s="23" t="s">
        <v>25</v>
      </c>
      <c r="E45" s="19"/>
      <c r="F45" s="16">
        <f>E45 * 4</f>
        <v>0</v>
      </c>
    </row>
    <row r="46" spans="1:6" x14ac:dyDescent="0.3">
      <c r="A46" s="129"/>
      <c r="B46" s="33" t="s">
        <v>150</v>
      </c>
      <c r="C46" s="56" t="s">
        <v>151</v>
      </c>
      <c r="D46" s="23" t="s">
        <v>25</v>
      </c>
      <c r="E46" s="19"/>
      <c r="F46" s="16">
        <f>E46 * 3350</f>
        <v>0</v>
      </c>
    </row>
    <row r="47" spans="1:6" x14ac:dyDescent="0.3">
      <c r="A47" s="129"/>
      <c r="B47" s="33" t="s">
        <v>152</v>
      </c>
      <c r="C47" s="56" t="s">
        <v>153</v>
      </c>
      <c r="D47" s="23" t="s">
        <v>25</v>
      </c>
      <c r="E47" s="19"/>
      <c r="F47" s="16">
        <f>E47 * 1210</f>
        <v>0</v>
      </c>
    </row>
    <row r="48" spans="1:6" x14ac:dyDescent="0.3">
      <c r="A48" s="129"/>
      <c r="B48" s="33" t="s">
        <v>154</v>
      </c>
      <c r="C48" s="56" t="s">
        <v>155</v>
      </c>
      <c r="D48" s="23" t="s">
        <v>25</v>
      </c>
      <c r="E48" s="19"/>
      <c r="F48" s="16">
        <f>E48 * 1330</f>
        <v>0</v>
      </c>
    </row>
    <row r="49" spans="1:6" x14ac:dyDescent="0.3">
      <c r="A49" s="129"/>
      <c r="B49" s="33" t="s">
        <v>156</v>
      </c>
      <c r="C49" s="56" t="s">
        <v>157</v>
      </c>
      <c r="D49" s="23" t="s">
        <v>25</v>
      </c>
      <c r="E49" s="19"/>
      <c r="F49" s="16">
        <f>E49 * 8060</f>
        <v>0</v>
      </c>
    </row>
    <row r="50" spans="1:6" x14ac:dyDescent="0.3">
      <c r="A50" s="129"/>
      <c r="B50" s="33" t="s">
        <v>158</v>
      </c>
      <c r="C50" s="56" t="s">
        <v>159</v>
      </c>
      <c r="D50" s="23" t="s">
        <v>25</v>
      </c>
      <c r="E50" s="19"/>
      <c r="F50" s="16">
        <f>E50 * 716</f>
        <v>0</v>
      </c>
    </row>
    <row r="51" spans="1:6" x14ac:dyDescent="0.3">
      <c r="A51" s="129"/>
      <c r="B51" s="33" t="s">
        <v>160</v>
      </c>
      <c r="C51" s="56" t="s">
        <v>161</v>
      </c>
      <c r="D51" s="23" t="s">
        <v>25</v>
      </c>
      <c r="E51" s="19"/>
      <c r="F51" s="16">
        <f>E51 * 858</f>
        <v>0</v>
      </c>
    </row>
    <row r="52" spans="1:6" x14ac:dyDescent="0.3">
      <c r="A52" s="129"/>
      <c r="B52" s="33" t="s">
        <v>162</v>
      </c>
      <c r="C52" s="56" t="s">
        <v>163</v>
      </c>
      <c r="D52" s="23" t="s">
        <v>25</v>
      </c>
      <c r="E52" s="19"/>
      <c r="F52" s="16">
        <f>E52 * 804</f>
        <v>0</v>
      </c>
    </row>
    <row r="53" spans="1:6" x14ac:dyDescent="0.3">
      <c r="A53" s="129"/>
      <c r="B53" s="33" t="s">
        <v>164</v>
      </c>
      <c r="C53" s="56" t="s">
        <v>165</v>
      </c>
      <c r="D53" s="23" t="s">
        <v>25</v>
      </c>
      <c r="E53" s="19"/>
      <c r="F53" s="16">
        <f>E53 * 1650</f>
        <v>0</v>
      </c>
    </row>
    <row r="54" spans="1:6" x14ac:dyDescent="0.3">
      <c r="A54" s="129" t="s">
        <v>166</v>
      </c>
      <c r="B54" s="33" t="s">
        <v>167</v>
      </c>
      <c r="C54" s="56" t="s">
        <v>168</v>
      </c>
      <c r="D54" s="23" t="s">
        <v>25</v>
      </c>
      <c r="E54" s="19"/>
      <c r="F54" s="16">
        <f>E54 * 23500</f>
        <v>0</v>
      </c>
    </row>
    <row r="55" spans="1:6" x14ac:dyDescent="0.3">
      <c r="A55" s="129"/>
      <c r="B55" s="33" t="s">
        <v>169</v>
      </c>
      <c r="C55" s="56" t="s">
        <v>170</v>
      </c>
      <c r="D55" s="23" t="s">
        <v>25</v>
      </c>
      <c r="E55" s="19"/>
      <c r="F55" s="16">
        <f>E55 * 16100</f>
        <v>0</v>
      </c>
    </row>
    <row r="56" spans="1:6" x14ac:dyDescent="0.3">
      <c r="A56" s="129"/>
      <c r="B56" s="33" t="s">
        <v>171</v>
      </c>
      <c r="C56" s="56" t="s">
        <v>172</v>
      </c>
      <c r="D56" s="23" t="s">
        <v>25</v>
      </c>
      <c r="E56" s="19"/>
      <c r="F56" s="16">
        <f>E56 * 6630</f>
        <v>0</v>
      </c>
    </row>
    <row r="57" spans="1:6" x14ac:dyDescent="0.3">
      <c r="A57" s="129"/>
      <c r="B57" s="33" t="s">
        <v>173</v>
      </c>
      <c r="C57" s="56" t="s">
        <v>174</v>
      </c>
      <c r="D57" s="23" t="s">
        <v>25</v>
      </c>
      <c r="E57" s="19"/>
      <c r="F57" s="16">
        <f>E57 * 11100</f>
        <v>0</v>
      </c>
    </row>
    <row r="58" spans="1:6" x14ac:dyDescent="0.3">
      <c r="A58" s="129"/>
      <c r="B58" s="33" t="s">
        <v>175</v>
      </c>
      <c r="C58" s="56" t="s">
        <v>176</v>
      </c>
      <c r="D58" s="23" t="s">
        <v>25</v>
      </c>
      <c r="E58" s="19"/>
      <c r="F58" s="16">
        <f>E58 * 8900</f>
        <v>0</v>
      </c>
    </row>
    <row r="59" spans="1:6" x14ac:dyDescent="0.3">
      <c r="A59" s="129"/>
      <c r="B59" s="33" t="s">
        <v>177</v>
      </c>
      <c r="C59" s="56" t="s">
        <v>178</v>
      </c>
      <c r="D59" s="23" t="s">
        <v>25</v>
      </c>
      <c r="E59" s="19"/>
      <c r="F59" s="16">
        <f>E59 * 9540</f>
        <v>0</v>
      </c>
    </row>
    <row r="60" spans="1:6" x14ac:dyDescent="0.3">
      <c r="A60" s="129"/>
      <c r="B60" s="33" t="s">
        <v>179</v>
      </c>
      <c r="C60" s="56" t="s">
        <v>180</v>
      </c>
      <c r="D60" s="23" t="s">
        <v>25</v>
      </c>
      <c r="E60" s="19"/>
      <c r="F60" s="16">
        <f>E60 * 9200</f>
        <v>0</v>
      </c>
    </row>
    <row r="61" spans="1:6" x14ac:dyDescent="0.3">
      <c r="A61" s="129"/>
      <c r="B61" s="33" t="s">
        <v>181</v>
      </c>
      <c r="C61" s="56" t="s">
        <v>182</v>
      </c>
      <c r="D61" s="23" t="s">
        <v>25</v>
      </c>
      <c r="E61" s="19"/>
      <c r="F61" s="16">
        <f>E61 * 8550</f>
        <v>0</v>
      </c>
    </row>
    <row r="62" spans="1:6" x14ac:dyDescent="0.3">
      <c r="A62" s="129"/>
      <c r="B62" s="33" t="s">
        <v>183</v>
      </c>
      <c r="C62" s="56" t="s">
        <v>184</v>
      </c>
      <c r="D62" s="23" t="s">
        <v>25</v>
      </c>
      <c r="E62" s="19"/>
      <c r="F62" s="16">
        <f>E62 * 7910</f>
        <v>0</v>
      </c>
    </row>
    <row r="63" spans="1:6" x14ac:dyDescent="0.3">
      <c r="A63" s="129"/>
      <c r="B63" s="33" t="s">
        <v>185</v>
      </c>
      <c r="C63" s="56" t="s">
        <v>186</v>
      </c>
      <c r="D63" s="23" t="s">
        <v>25</v>
      </c>
      <c r="E63" s="19"/>
      <c r="F63" s="16">
        <f>E63 * 7190</f>
        <v>0</v>
      </c>
    </row>
    <row r="64" spans="1:6" x14ac:dyDescent="0.3">
      <c r="A64" s="129"/>
      <c r="B64" s="33" t="s">
        <v>187</v>
      </c>
      <c r="C64" s="56" t="s">
        <v>188</v>
      </c>
      <c r="D64" s="23" t="s">
        <v>25</v>
      </c>
      <c r="E64" s="19"/>
      <c r="F64" s="16">
        <f>E64 * 17400</f>
        <v>0</v>
      </c>
    </row>
    <row r="65" spans="1:6" x14ac:dyDescent="0.3">
      <c r="A65" s="129"/>
      <c r="B65" s="33" t="s">
        <v>189</v>
      </c>
      <c r="C65" s="56" t="s">
        <v>190</v>
      </c>
      <c r="D65" s="23" t="s">
        <v>25</v>
      </c>
      <c r="E65" s="19"/>
      <c r="F65" s="16">
        <f>E65 * 9200</f>
        <v>0</v>
      </c>
    </row>
    <row r="66" spans="1:6" x14ac:dyDescent="0.3">
      <c r="A66" s="129" t="s">
        <v>191</v>
      </c>
      <c r="B66" s="33" t="s">
        <v>192</v>
      </c>
      <c r="C66" s="56" t="s">
        <v>193</v>
      </c>
      <c r="D66" s="23" t="s">
        <v>25</v>
      </c>
      <c r="E66" s="19"/>
      <c r="F66" s="16">
        <f>E66 * 12400</f>
        <v>0</v>
      </c>
    </row>
    <row r="67" spans="1:6" x14ac:dyDescent="0.3">
      <c r="A67" s="129"/>
      <c r="B67" s="33" t="s">
        <v>194</v>
      </c>
      <c r="C67" s="56" t="s">
        <v>195</v>
      </c>
      <c r="D67" s="23" t="s">
        <v>25</v>
      </c>
      <c r="E67" s="19"/>
      <c r="F67" s="16">
        <f>E67 * 5560</f>
        <v>0</v>
      </c>
    </row>
    <row r="68" spans="1:6" x14ac:dyDescent="0.3">
      <c r="A68" s="129"/>
      <c r="B68" s="33" t="s">
        <v>196</v>
      </c>
      <c r="C68" s="56" t="s">
        <v>197</v>
      </c>
      <c r="D68" s="23" t="s">
        <v>25</v>
      </c>
      <c r="E68" s="19"/>
      <c r="F68" s="16">
        <f>E68 * 523</f>
        <v>0</v>
      </c>
    </row>
    <row r="69" spans="1:6" x14ac:dyDescent="0.3">
      <c r="A69" s="129"/>
      <c r="B69" s="33" t="s">
        <v>198</v>
      </c>
      <c r="C69" s="56" t="s">
        <v>199</v>
      </c>
      <c r="D69" s="23" t="s">
        <v>25</v>
      </c>
      <c r="E69" s="19"/>
      <c r="F69" s="16">
        <f>E69 * 6450</f>
        <v>0</v>
      </c>
    </row>
    <row r="70" spans="1:6" x14ac:dyDescent="0.3">
      <c r="A70" s="129"/>
      <c r="B70" s="33" t="s">
        <v>200</v>
      </c>
      <c r="C70" s="56" t="s">
        <v>201</v>
      </c>
      <c r="D70" s="23" t="s">
        <v>25</v>
      </c>
      <c r="E70" s="19"/>
      <c r="F70" s="16">
        <f>E70 * 491</f>
        <v>0</v>
      </c>
    </row>
    <row r="71" spans="1:6" x14ac:dyDescent="0.3">
      <c r="A71" s="129"/>
      <c r="B71" s="33" t="s">
        <v>202</v>
      </c>
      <c r="C71" s="56" t="s">
        <v>203</v>
      </c>
      <c r="D71" s="23" t="s">
        <v>25</v>
      </c>
      <c r="E71" s="19"/>
      <c r="F71" s="16">
        <f>E71 * 1790</f>
        <v>0</v>
      </c>
    </row>
    <row r="72" spans="1:6" x14ac:dyDescent="0.3">
      <c r="A72" s="129"/>
      <c r="B72" s="33" t="s">
        <v>204</v>
      </c>
      <c r="C72" s="56" t="s">
        <v>205</v>
      </c>
      <c r="D72" s="23" t="s">
        <v>25</v>
      </c>
      <c r="E72" s="19"/>
      <c r="F72" s="16">
        <f>E72 * 979</f>
        <v>0</v>
      </c>
    </row>
    <row r="73" spans="1:6" x14ac:dyDescent="0.3">
      <c r="A73" s="129"/>
      <c r="B73" s="33" t="s">
        <v>206</v>
      </c>
      <c r="C73" s="56" t="s">
        <v>207</v>
      </c>
      <c r="D73" s="23" t="s">
        <v>25</v>
      </c>
      <c r="E73" s="19"/>
      <c r="F73" s="16">
        <f>E73 * 654</f>
        <v>0</v>
      </c>
    </row>
    <row r="74" spans="1:6" x14ac:dyDescent="0.3">
      <c r="A74" s="129"/>
      <c r="B74" s="33" t="s">
        <v>208</v>
      </c>
      <c r="C74" s="56" t="s">
        <v>209</v>
      </c>
      <c r="D74" s="23" t="s">
        <v>25</v>
      </c>
      <c r="E74" s="19"/>
      <c r="F74" s="16">
        <f>E74 * 828</f>
        <v>0</v>
      </c>
    </row>
    <row r="75" spans="1:6" x14ac:dyDescent="0.3">
      <c r="A75" s="129"/>
      <c r="B75" s="33" t="s">
        <v>210</v>
      </c>
      <c r="C75" s="56" t="s">
        <v>211</v>
      </c>
      <c r="D75" s="23" t="s">
        <v>25</v>
      </c>
      <c r="E75" s="19"/>
      <c r="F75" s="16">
        <f>E75 * 812</f>
        <v>0</v>
      </c>
    </row>
    <row r="76" spans="1:6" x14ac:dyDescent="0.3">
      <c r="A76" s="129"/>
      <c r="B76" s="33" t="s">
        <v>212</v>
      </c>
      <c r="C76" s="56" t="s">
        <v>213</v>
      </c>
      <c r="D76" s="23" t="s">
        <v>25</v>
      </c>
      <c r="E76" s="19"/>
      <c r="F76" s="16">
        <f>E76 * 301</f>
        <v>0</v>
      </c>
    </row>
    <row r="77" spans="1:6" x14ac:dyDescent="0.3">
      <c r="A77" s="129"/>
      <c r="B77" s="33" t="s">
        <v>214</v>
      </c>
      <c r="C77" s="56" t="s">
        <v>215</v>
      </c>
      <c r="D77" s="23" t="s">
        <v>25</v>
      </c>
      <c r="E77" s="19"/>
      <c r="F77" s="16">
        <f>E77 * 1</f>
        <v>0</v>
      </c>
    </row>
    <row r="78" spans="1:6" x14ac:dyDescent="0.3">
      <c r="A78" s="129"/>
      <c r="B78" s="33" t="s">
        <v>216</v>
      </c>
      <c r="C78" s="56" t="s">
        <v>217</v>
      </c>
      <c r="D78" s="23" t="s">
        <v>25</v>
      </c>
      <c r="E78" s="19"/>
      <c r="F78" s="16">
        <f>E78 * 3070</f>
        <v>0</v>
      </c>
    </row>
    <row r="79" spans="1:6" x14ac:dyDescent="0.3">
      <c r="A79" s="129"/>
      <c r="B79" s="33" t="s">
        <v>218</v>
      </c>
      <c r="C79" s="56" t="s">
        <v>219</v>
      </c>
      <c r="D79" s="23" t="s">
        <v>25</v>
      </c>
      <c r="E79" s="19"/>
      <c r="F79" s="16">
        <f>E79 * 929</f>
        <v>0</v>
      </c>
    </row>
    <row r="80" spans="1:6" x14ac:dyDescent="0.3">
      <c r="A80" s="129"/>
      <c r="B80" s="33" t="s">
        <v>220</v>
      </c>
      <c r="C80" s="56" t="s">
        <v>221</v>
      </c>
      <c r="D80" s="23" t="s">
        <v>25</v>
      </c>
      <c r="E80" s="19"/>
      <c r="F80" s="16">
        <f>E80 * 530</f>
        <v>0</v>
      </c>
    </row>
    <row r="81" spans="1:6" x14ac:dyDescent="0.3">
      <c r="A81" s="129"/>
      <c r="B81" s="33" t="s">
        <v>222</v>
      </c>
      <c r="C81" s="56" t="s">
        <v>223</v>
      </c>
      <c r="D81" s="23" t="s">
        <v>25</v>
      </c>
      <c r="E81" s="19"/>
      <c r="F81" s="16">
        <f>E81 * 854</f>
        <v>0</v>
      </c>
    </row>
    <row r="82" spans="1:6" x14ac:dyDescent="0.3">
      <c r="A82" s="129"/>
      <c r="B82" s="33" t="s">
        <v>224</v>
      </c>
      <c r="C82" s="56" t="s">
        <v>225</v>
      </c>
      <c r="D82" s="23" t="s">
        <v>25</v>
      </c>
      <c r="E82" s="19"/>
      <c r="F82" s="16">
        <f>E82 * 889</f>
        <v>0</v>
      </c>
    </row>
    <row r="83" spans="1:6" x14ac:dyDescent="0.3">
      <c r="A83" s="129"/>
      <c r="B83" s="33" t="s">
        <v>226</v>
      </c>
      <c r="C83" s="56" t="s">
        <v>227</v>
      </c>
      <c r="D83" s="23" t="s">
        <v>25</v>
      </c>
      <c r="E83" s="19"/>
      <c r="F83" s="16">
        <f>E83 * 387</f>
        <v>0</v>
      </c>
    </row>
    <row r="84" spans="1:6" x14ac:dyDescent="0.3">
      <c r="A84" s="129"/>
      <c r="B84" s="33" t="s">
        <v>228</v>
      </c>
      <c r="C84" s="56" t="s">
        <v>229</v>
      </c>
      <c r="D84" s="23" t="s">
        <v>25</v>
      </c>
      <c r="E84" s="19"/>
      <c r="F84" s="16">
        <f>E84 * 413</f>
        <v>0</v>
      </c>
    </row>
    <row r="85" spans="1:6" x14ac:dyDescent="0.3">
      <c r="A85" s="129"/>
      <c r="B85" s="33" t="s">
        <v>230</v>
      </c>
      <c r="C85" s="56" t="s">
        <v>231</v>
      </c>
      <c r="D85" s="23" t="s">
        <v>25</v>
      </c>
      <c r="E85" s="19"/>
      <c r="F85" s="16">
        <f>E85 * 719</f>
        <v>0</v>
      </c>
    </row>
    <row r="86" spans="1:6" x14ac:dyDescent="0.3">
      <c r="A86" s="129"/>
      <c r="B86" s="33" t="s">
        <v>232</v>
      </c>
      <c r="C86" s="56" t="s">
        <v>233</v>
      </c>
      <c r="D86" s="23" t="s">
        <v>25</v>
      </c>
      <c r="E86" s="19"/>
      <c r="F86" s="16">
        <f>E86 * 446</f>
        <v>0</v>
      </c>
    </row>
    <row r="87" spans="1:6" x14ac:dyDescent="0.3">
      <c r="A87" s="129"/>
      <c r="B87" s="33" t="s">
        <v>234</v>
      </c>
      <c r="C87" s="56" t="s">
        <v>235</v>
      </c>
      <c r="D87" s="23" t="s">
        <v>25</v>
      </c>
      <c r="E87" s="19"/>
      <c r="F87" s="16">
        <f>E87 * 1</f>
        <v>0</v>
      </c>
    </row>
    <row r="88" spans="1:6" x14ac:dyDescent="0.3">
      <c r="A88" s="129"/>
      <c r="B88" s="33" t="s">
        <v>236</v>
      </c>
      <c r="C88" s="56" t="s">
        <v>237</v>
      </c>
      <c r="D88" s="23" t="s">
        <v>25</v>
      </c>
      <c r="E88" s="19"/>
      <c r="F88" s="16">
        <f>E88 * 627</f>
        <v>0</v>
      </c>
    </row>
    <row r="89" spans="1:6" x14ac:dyDescent="0.3">
      <c r="A89" s="129"/>
      <c r="B89" s="33" t="s">
        <v>238</v>
      </c>
      <c r="C89" s="56" t="s">
        <v>239</v>
      </c>
      <c r="D89" s="23" t="s">
        <v>25</v>
      </c>
      <c r="E89" s="19"/>
      <c r="F89" s="16">
        <f>E89 * 421</f>
        <v>0</v>
      </c>
    </row>
    <row r="90" spans="1:6" x14ac:dyDescent="0.3">
      <c r="A90" s="129"/>
      <c r="B90" s="33" t="s">
        <v>240</v>
      </c>
      <c r="C90" s="56" t="s">
        <v>241</v>
      </c>
      <c r="D90" s="23" t="s">
        <v>25</v>
      </c>
      <c r="E90" s="19"/>
      <c r="F90" s="16">
        <f>E90 * 57</f>
        <v>0</v>
      </c>
    </row>
    <row r="91" spans="1:6" x14ac:dyDescent="0.3">
      <c r="A91" s="129"/>
      <c r="B91" s="33" t="s">
        <v>242</v>
      </c>
      <c r="C91" s="56" t="s">
        <v>243</v>
      </c>
      <c r="D91" s="23" t="s">
        <v>25</v>
      </c>
      <c r="E91" s="19"/>
      <c r="F91" s="16">
        <f>E91 * 2820</f>
        <v>0</v>
      </c>
    </row>
    <row r="92" spans="1:6" x14ac:dyDescent="0.3">
      <c r="A92" s="129"/>
      <c r="B92" s="33" t="s">
        <v>244</v>
      </c>
      <c r="C92" s="56" t="s">
        <v>245</v>
      </c>
      <c r="D92" s="23" t="s">
        <v>25</v>
      </c>
      <c r="E92" s="19"/>
      <c r="F92" s="16">
        <f>E92 * 5350</f>
        <v>0</v>
      </c>
    </row>
    <row r="93" spans="1:6" x14ac:dyDescent="0.3">
      <c r="A93" s="129"/>
      <c r="B93" s="33" t="s">
        <v>246</v>
      </c>
      <c r="C93" s="56" t="s">
        <v>247</v>
      </c>
      <c r="D93" s="23" t="s">
        <v>25</v>
      </c>
      <c r="E93" s="19"/>
      <c r="F93" s="16">
        <f>E93 * 2910</f>
        <v>0</v>
      </c>
    </row>
    <row r="94" spans="1:6" x14ac:dyDescent="0.3">
      <c r="A94" s="40" t="s">
        <v>248</v>
      </c>
      <c r="B94" s="33" t="s">
        <v>249</v>
      </c>
      <c r="C94" s="56" t="s">
        <v>250</v>
      </c>
      <c r="D94" s="23" t="s">
        <v>25</v>
      </c>
      <c r="E94" s="19"/>
      <c r="F94" s="16">
        <f>E94 * 9710</f>
        <v>0</v>
      </c>
    </row>
    <row r="95" spans="1:6" x14ac:dyDescent="0.3">
      <c r="A95" s="124" t="s">
        <v>251</v>
      </c>
      <c r="B95" s="33" t="s">
        <v>252</v>
      </c>
      <c r="C95" s="56" t="s">
        <v>253</v>
      </c>
      <c r="D95" s="23" t="s">
        <v>25</v>
      </c>
      <c r="E95" s="19"/>
      <c r="F95" s="16">
        <f>E95 * 16</f>
        <v>0</v>
      </c>
    </row>
    <row r="96" spans="1:6" x14ac:dyDescent="0.3">
      <c r="A96" s="124"/>
      <c r="B96" s="33" t="s">
        <v>254</v>
      </c>
      <c r="C96" s="56" t="s">
        <v>255</v>
      </c>
      <c r="D96" s="23" t="s">
        <v>25</v>
      </c>
      <c r="E96" s="19"/>
      <c r="F96" s="16">
        <f>E96 * 9</f>
        <v>0</v>
      </c>
    </row>
    <row r="97" spans="1:6" x14ac:dyDescent="0.3">
      <c r="A97" s="124"/>
      <c r="B97" s="33" t="s">
        <v>256</v>
      </c>
      <c r="C97" s="56" t="s">
        <v>257</v>
      </c>
      <c r="D97" s="23" t="s">
        <v>25</v>
      </c>
      <c r="E97" s="19"/>
      <c r="F97" s="16">
        <f>E97 * 376</f>
        <v>0</v>
      </c>
    </row>
    <row r="98" spans="1:6" x14ac:dyDescent="0.3">
      <c r="A98" s="124"/>
      <c r="B98" s="33" t="s">
        <v>258</v>
      </c>
      <c r="C98" s="56" t="s">
        <v>259</v>
      </c>
      <c r="D98" s="23" t="s">
        <v>25</v>
      </c>
      <c r="E98" s="19"/>
      <c r="F98" s="16">
        <f>E98 * 12</f>
        <v>0</v>
      </c>
    </row>
    <row r="99" spans="1:6" x14ac:dyDescent="0.3">
      <c r="A99" s="129" t="s">
        <v>260</v>
      </c>
      <c r="B99" s="33" t="s">
        <v>261</v>
      </c>
      <c r="C99" s="56" t="s">
        <v>262</v>
      </c>
      <c r="D99" s="23" t="s">
        <v>19</v>
      </c>
      <c r="E99" s="19"/>
      <c r="F99" s="16">
        <f>E99 * 0</f>
        <v>0</v>
      </c>
    </row>
    <row r="100" spans="1:6" x14ac:dyDescent="0.3">
      <c r="A100" s="129"/>
      <c r="B100" s="33" t="s">
        <v>263</v>
      </c>
      <c r="C100" s="56" t="s">
        <v>264</v>
      </c>
      <c r="D100" s="23" t="s">
        <v>25</v>
      </c>
      <c r="E100" s="19"/>
      <c r="F100" s="16">
        <f>E100 * 4456.75</f>
        <v>0</v>
      </c>
    </row>
    <row r="101" spans="1:6" x14ac:dyDescent="0.3">
      <c r="A101" s="129"/>
      <c r="B101" s="33" t="s">
        <v>265</v>
      </c>
      <c r="C101" s="56" t="s">
        <v>266</v>
      </c>
      <c r="D101" s="23" t="s">
        <v>25</v>
      </c>
      <c r="E101" s="19"/>
      <c r="F101" s="16">
        <f>E101 * 3942.8</f>
        <v>0</v>
      </c>
    </row>
    <row r="102" spans="1:6" x14ac:dyDescent="0.3">
      <c r="A102" s="129"/>
      <c r="B102" s="33" t="s">
        <v>267</v>
      </c>
      <c r="C102" s="56" t="s">
        <v>268</v>
      </c>
      <c r="D102" s="23" t="s">
        <v>25</v>
      </c>
      <c r="E102" s="19"/>
      <c r="F102" s="16">
        <f>E102 * 1779.92</f>
        <v>0</v>
      </c>
    </row>
    <row r="103" spans="1:6" x14ac:dyDescent="0.3">
      <c r="A103" s="129"/>
      <c r="B103" s="33" t="s">
        <v>269</v>
      </c>
      <c r="C103" s="56" t="s">
        <v>270</v>
      </c>
      <c r="D103" s="23" t="s">
        <v>25</v>
      </c>
      <c r="E103" s="19"/>
      <c r="F103" s="16">
        <f>E103 * 1624.21</f>
        <v>0</v>
      </c>
    </row>
    <row r="104" spans="1:6" x14ac:dyDescent="0.3">
      <c r="A104" s="129"/>
      <c r="B104" s="33" t="s">
        <v>271</v>
      </c>
      <c r="C104" s="56" t="s">
        <v>272</v>
      </c>
      <c r="D104" s="23" t="s">
        <v>25</v>
      </c>
      <c r="E104" s="19"/>
      <c r="F104" s="16">
        <f>E104 * 1674.1</f>
        <v>0</v>
      </c>
    </row>
    <row r="105" spans="1:6" x14ac:dyDescent="0.3">
      <c r="A105" s="129"/>
      <c r="B105" s="33" t="s">
        <v>273</v>
      </c>
      <c r="C105" s="56" t="s">
        <v>274</v>
      </c>
      <c r="D105" s="23" t="s">
        <v>25</v>
      </c>
      <c r="E105" s="19"/>
      <c r="F105" s="16">
        <f>E105 * 3257.1</f>
        <v>0</v>
      </c>
    </row>
    <row r="106" spans="1:6" x14ac:dyDescent="0.3">
      <c r="A106" s="129"/>
      <c r="B106" s="33" t="s">
        <v>275</v>
      </c>
      <c r="C106" s="56" t="s">
        <v>276</v>
      </c>
      <c r="D106" s="23" t="s">
        <v>25</v>
      </c>
      <c r="E106" s="19"/>
      <c r="F106" s="16">
        <f>E106 * 1484.75</f>
        <v>0</v>
      </c>
    </row>
    <row r="107" spans="1:6" x14ac:dyDescent="0.3">
      <c r="A107" s="129"/>
      <c r="B107" s="33" t="s">
        <v>277</v>
      </c>
      <c r="C107" s="56" t="s">
        <v>278</v>
      </c>
      <c r="D107" s="23" t="s">
        <v>25</v>
      </c>
      <c r="E107" s="19"/>
      <c r="F107" s="16">
        <f>E107 * 1473.75</f>
        <v>0</v>
      </c>
    </row>
    <row r="108" spans="1:6" x14ac:dyDescent="0.3">
      <c r="A108" s="129"/>
      <c r="B108" s="33" t="s">
        <v>279</v>
      </c>
      <c r="C108" s="56" t="s">
        <v>280</v>
      </c>
      <c r="D108" s="23" t="s">
        <v>25</v>
      </c>
      <c r="E108" s="19"/>
      <c r="F108" s="16">
        <f>E108 * 1923.5</f>
        <v>0</v>
      </c>
    </row>
    <row r="109" spans="1:6" x14ac:dyDescent="0.3">
      <c r="A109" s="129"/>
      <c r="B109" s="33" t="s">
        <v>281</v>
      </c>
      <c r="C109" s="56" t="s">
        <v>282</v>
      </c>
      <c r="D109" s="23" t="s">
        <v>25</v>
      </c>
      <c r="E109" s="19"/>
      <c r="F109" s="16">
        <f>E109 * 1945.09</f>
        <v>0</v>
      </c>
    </row>
    <row r="110" spans="1:6" x14ac:dyDescent="0.3">
      <c r="A110" s="129"/>
      <c r="B110" s="33" t="s">
        <v>283</v>
      </c>
      <c r="C110" s="56" t="s">
        <v>284</v>
      </c>
      <c r="D110" s="23" t="s">
        <v>25</v>
      </c>
      <c r="E110" s="19"/>
      <c r="F110" s="16">
        <f>E110 * 975.21</f>
        <v>0</v>
      </c>
    </row>
    <row r="111" spans="1:6" x14ac:dyDescent="0.3">
      <c r="A111" s="129"/>
      <c r="B111" s="33" t="s">
        <v>285</v>
      </c>
      <c r="C111" s="56" t="s">
        <v>286</v>
      </c>
      <c r="D111" s="23" t="s">
        <v>25</v>
      </c>
      <c r="E111" s="19"/>
      <c r="F111" s="16">
        <f>E111 * 2127.322</f>
        <v>0</v>
      </c>
    </row>
    <row r="112" spans="1:6" x14ac:dyDescent="0.3">
      <c r="A112" s="129"/>
      <c r="B112" s="33" t="s">
        <v>287</v>
      </c>
      <c r="C112" s="56" t="s">
        <v>288</v>
      </c>
      <c r="D112" s="23" t="s">
        <v>25</v>
      </c>
      <c r="E112" s="19"/>
      <c r="F112" s="16">
        <f>E112 * 2847.272</f>
        <v>0</v>
      </c>
    </row>
    <row r="113" spans="1:6" x14ac:dyDescent="0.3">
      <c r="A113" s="129"/>
      <c r="B113" s="33" t="s">
        <v>289</v>
      </c>
      <c r="C113" s="56" t="s">
        <v>290</v>
      </c>
      <c r="D113" s="23" t="s">
        <v>25</v>
      </c>
      <c r="E113" s="19"/>
      <c r="F113" s="16">
        <f>E113 * 3</f>
        <v>0</v>
      </c>
    </row>
    <row r="114" spans="1:6" x14ac:dyDescent="0.3">
      <c r="A114" s="129"/>
      <c r="B114" s="33" t="s">
        <v>291</v>
      </c>
      <c r="C114" s="56" t="s">
        <v>292</v>
      </c>
      <c r="D114" s="23" t="s">
        <v>25</v>
      </c>
      <c r="E114" s="19"/>
      <c r="F114" s="16">
        <f>E114 * 3</f>
        <v>0</v>
      </c>
    </row>
    <row r="115" spans="1:6" x14ac:dyDescent="0.3">
      <c r="A115" s="129"/>
      <c r="B115" s="33" t="s">
        <v>293</v>
      </c>
      <c r="C115" s="56" t="s">
        <v>294</v>
      </c>
      <c r="D115" s="23" t="s">
        <v>25</v>
      </c>
      <c r="E115" s="19"/>
      <c r="F115" s="16">
        <f>E115 * 4785.92</f>
        <v>0</v>
      </c>
    </row>
    <row r="116" spans="1:6" x14ac:dyDescent="0.3">
      <c r="A116" s="40" t="s">
        <v>295</v>
      </c>
      <c r="B116" s="33" t="s">
        <v>296</v>
      </c>
      <c r="C116" s="56" t="s">
        <v>297</v>
      </c>
      <c r="D116" s="23" t="s">
        <v>25</v>
      </c>
      <c r="E116" s="19"/>
      <c r="F116" s="16">
        <f>E116 * 3985</f>
        <v>0</v>
      </c>
    </row>
    <row r="117" spans="1:6" x14ac:dyDescent="0.3">
      <c r="A117" s="129" t="s">
        <v>298</v>
      </c>
      <c r="B117" s="33" t="s">
        <v>299</v>
      </c>
      <c r="C117" s="56" t="s">
        <v>300</v>
      </c>
      <c r="D117" s="23" t="s">
        <v>25</v>
      </c>
      <c r="E117" s="19"/>
      <c r="F117" s="16">
        <f>E117 * 216</f>
        <v>0</v>
      </c>
    </row>
    <row r="118" spans="1:6" x14ac:dyDescent="0.3">
      <c r="A118" s="129"/>
      <c r="B118" s="33" t="s">
        <v>200</v>
      </c>
      <c r="C118" s="56" t="s">
        <v>201</v>
      </c>
      <c r="D118" s="23" t="s">
        <v>25</v>
      </c>
      <c r="E118" s="19"/>
      <c r="F118" s="16">
        <f>E118 * 491</f>
        <v>0</v>
      </c>
    </row>
    <row r="119" spans="1:6" x14ac:dyDescent="0.3">
      <c r="A119" s="129"/>
      <c r="B119" s="33" t="s">
        <v>301</v>
      </c>
      <c r="C119" s="56" t="s">
        <v>203</v>
      </c>
      <c r="D119" s="23" t="s">
        <v>25</v>
      </c>
      <c r="E119" s="19"/>
      <c r="F119" s="16">
        <f>E119 * 1790</f>
        <v>0</v>
      </c>
    </row>
    <row r="120" spans="1:6" ht="15" thickBot="1" x14ac:dyDescent="0.35">
      <c r="A120" s="40" t="s">
        <v>302</v>
      </c>
      <c r="B120" s="33" t="s">
        <v>303</v>
      </c>
      <c r="C120" s="56" t="s">
        <v>304</v>
      </c>
      <c r="D120" s="23" t="s">
        <v>25</v>
      </c>
      <c r="E120" s="22"/>
      <c r="F120" s="16">
        <f>E120 * 153.435</f>
        <v>0</v>
      </c>
    </row>
    <row r="121" spans="1:6" x14ac:dyDescent="0.3">
      <c r="E121" s="27" t="s">
        <v>39</v>
      </c>
      <c r="F121" s="34">
        <f>SUM(F10:F120)</f>
        <v>0</v>
      </c>
    </row>
  </sheetData>
  <mergeCells count="13">
    <mergeCell ref="A117:A119"/>
    <mergeCell ref="A15:A34"/>
    <mergeCell ref="A35:A53"/>
    <mergeCell ref="A54:A65"/>
    <mergeCell ref="A66:A93"/>
    <mergeCell ref="A95:A98"/>
    <mergeCell ref="A99:A115"/>
    <mergeCell ref="A10:A14"/>
    <mergeCell ref="A2:U2"/>
    <mergeCell ref="A5:F5"/>
    <mergeCell ref="A6:F6"/>
    <mergeCell ref="A8:F8"/>
    <mergeCell ref="A9: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984-8B99-409D-AB89-20F300F71045}">
  <sheetPr>
    <tabColor theme="7"/>
  </sheetPr>
  <dimension ref="B2"/>
  <sheetViews>
    <sheetView showGridLines="0" workbookViewId="0"/>
  </sheetViews>
  <sheetFormatPr defaultRowHeight="14.4" x14ac:dyDescent="0.3"/>
  <sheetData>
    <row r="2" spans="2:2" x14ac:dyDescent="0.3">
      <c r="B2" t="s">
        <v>605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F758-0C70-4D31-BBF2-029F7A40249E}">
  <sheetPr>
    <tabColor theme="7" tint="0.39997558519241921"/>
  </sheetPr>
  <dimension ref="A1:T53"/>
  <sheetViews>
    <sheetView showGridLines="0" zoomScaleNormal="100" workbookViewId="0">
      <selection activeCell="E32" sqref="E32"/>
    </sheetView>
  </sheetViews>
  <sheetFormatPr defaultColWidth="11.44140625" defaultRowHeight="14.4" x14ac:dyDescent="0.3"/>
  <cols>
    <col min="1" max="1" width="26.33203125" style="2" customWidth="1"/>
    <col min="2" max="2" width="16.5546875" style="2" customWidth="1"/>
    <col min="3" max="3" width="7.44140625" style="2" customWidth="1"/>
    <col min="4" max="4" width="17.33203125" style="2" bestFit="1" customWidth="1"/>
    <col min="5" max="5" width="16.109375" style="2" bestFit="1" customWidth="1"/>
    <col min="6" max="6" width="18.21875" style="2" customWidth="1"/>
    <col min="7" max="8" width="14.5546875" style="2" customWidth="1"/>
    <col min="9" max="9" width="7.109375" style="2" customWidth="1"/>
    <col min="10" max="10" width="63.33203125" style="2" customWidth="1"/>
    <col min="11" max="99" width="10.6640625" style="2" customWidth="1"/>
    <col min="100" max="16384" width="11.44140625" style="2"/>
  </cols>
  <sheetData>
    <row r="1" spans="1:20" ht="31.2" x14ac:dyDescent="0.3">
      <c r="A1" s="1" t="s">
        <v>7</v>
      </c>
    </row>
    <row r="2" spans="1:20" ht="23.4" x14ac:dyDescent="0.3">
      <c r="A2" s="130" t="s">
        <v>53</v>
      </c>
      <c r="B2" s="102"/>
      <c r="C2" s="102"/>
      <c r="D2" s="102"/>
      <c r="E2" s="102"/>
      <c r="F2" s="102"/>
      <c r="G2" s="102"/>
      <c r="H2" s="102"/>
      <c r="I2" s="102"/>
      <c r="J2" s="102"/>
      <c r="K2" s="102"/>
      <c r="L2" s="102"/>
      <c r="M2" s="102"/>
      <c r="N2" s="102"/>
      <c r="O2" s="102"/>
      <c r="P2" s="102"/>
      <c r="Q2" s="102"/>
      <c r="R2" s="102"/>
      <c r="S2" s="102"/>
      <c r="T2" s="102"/>
    </row>
    <row r="4" spans="1:20" ht="31.2" x14ac:dyDescent="0.3">
      <c r="A4" s="1" t="s">
        <v>60</v>
      </c>
    </row>
    <row r="5" spans="1:20" x14ac:dyDescent="0.3">
      <c r="A5" s="131" t="s">
        <v>10</v>
      </c>
      <c r="B5" s="131"/>
      <c r="C5" s="131"/>
      <c r="D5" s="131"/>
      <c r="E5" s="131"/>
      <c r="F5" s="131"/>
      <c r="G5" s="131"/>
      <c r="H5" s="131"/>
    </row>
    <row r="6" spans="1:20" ht="40.200000000000003" customHeight="1" x14ac:dyDescent="0.3">
      <c r="A6" s="134" t="s">
        <v>628</v>
      </c>
      <c r="B6" s="135"/>
      <c r="C6" s="135"/>
      <c r="D6" s="135"/>
      <c r="E6" s="135"/>
      <c r="F6" s="135"/>
      <c r="G6" s="135"/>
      <c r="H6" s="136"/>
    </row>
    <row r="9" spans="1:20" ht="35.4" customHeight="1" thickBot="1" x14ac:dyDescent="0.35">
      <c r="A9" s="49" t="s">
        <v>62</v>
      </c>
      <c r="B9" s="3"/>
      <c r="C9" s="3"/>
      <c r="D9" s="3"/>
      <c r="E9" s="3"/>
      <c r="F9" s="3"/>
      <c r="G9" s="3"/>
      <c r="H9" s="3"/>
      <c r="J9" s="99" t="s">
        <v>629</v>
      </c>
    </row>
    <row r="10" spans="1:20" ht="15" thickBot="1" x14ac:dyDescent="0.35">
      <c r="A10" s="30" t="s">
        <v>18</v>
      </c>
      <c r="B10" s="38"/>
      <c r="C10" s="52" t="s">
        <v>19</v>
      </c>
      <c r="D10" s="11" t="s">
        <v>20</v>
      </c>
      <c r="E10" s="53" t="s">
        <v>12</v>
      </c>
      <c r="F10" s="12" t="s">
        <v>13</v>
      </c>
      <c r="G10" s="12" t="s">
        <v>14</v>
      </c>
      <c r="H10" s="12" t="s">
        <v>15</v>
      </c>
    </row>
    <row r="11" spans="1:20" ht="15" thickBot="1" x14ac:dyDescent="0.35">
      <c r="A11" s="94" t="s">
        <v>63</v>
      </c>
      <c r="B11" s="35" t="s">
        <v>59</v>
      </c>
      <c r="C11" s="33"/>
      <c r="D11" s="54"/>
      <c r="E11" s="33"/>
      <c r="F11" s="33"/>
      <c r="G11" s="33"/>
      <c r="H11" s="33"/>
    </row>
    <row r="12" spans="1:20" ht="15" thickBot="1" x14ac:dyDescent="0.35">
      <c r="A12" s="94"/>
      <c r="B12" s="95">
        <v>45261</v>
      </c>
      <c r="C12" s="14" t="s">
        <v>36</v>
      </c>
      <c r="D12" s="15"/>
      <c r="E12" s="16">
        <f t="shared" ref="E12:E15" si="0">F12 + G12 + H12</f>
        <v>0</v>
      </c>
      <c r="F12" s="17">
        <f>D12 * 0.0352602587</f>
        <v>0</v>
      </c>
      <c r="G12" s="17">
        <f>D12 * 0.0000379511</f>
        <v>0</v>
      </c>
      <c r="H12" s="17">
        <f>D12 * 0.0000002601</f>
        <v>0</v>
      </c>
    </row>
    <row r="13" spans="1:20" ht="15" thickBot="1" x14ac:dyDescent="0.35">
      <c r="A13" s="94"/>
      <c r="B13" s="95">
        <v>45170</v>
      </c>
      <c r="C13" s="18" t="s">
        <v>36</v>
      </c>
      <c r="D13" s="15"/>
      <c r="E13" s="16">
        <f t="shared" si="0"/>
        <v>0</v>
      </c>
      <c r="F13" s="17">
        <f>D13 * 0.0553504768</f>
        <v>0</v>
      </c>
      <c r="G13" s="17">
        <f>D13 * 0.0000595744</f>
        <v>0</v>
      </c>
      <c r="H13" s="17">
        <f>D13 * 0.0000004083</f>
        <v>0</v>
      </c>
    </row>
    <row r="14" spans="1:20" ht="15" thickBot="1" x14ac:dyDescent="0.35">
      <c r="A14" s="94"/>
      <c r="B14" s="95">
        <v>45078</v>
      </c>
      <c r="C14" s="18" t="s">
        <v>36</v>
      </c>
      <c r="D14" s="15"/>
      <c r="E14" s="16">
        <f t="shared" si="0"/>
        <v>0</v>
      </c>
      <c r="F14" s="17">
        <f>D14 * 0.1082780326</f>
        <v>0</v>
      </c>
      <c r="G14" s="17">
        <f>D14 * 0.000116541</f>
        <v>0</v>
      </c>
      <c r="H14" s="17">
        <f>D14 * 0.0000007988</f>
        <v>0</v>
      </c>
    </row>
    <row r="15" spans="1:20" x14ac:dyDescent="0.3">
      <c r="A15" s="94"/>
      <c r="B15" s="95">
        <v>44986</v>
      </c>
      <c r="C15" s="18" t="s">
        <v>36</v>
      </c>
      <c r="D15" s="15"/>
      <c r="E15" s="16">
        <f t="shared" si="0"/>
        <v>0</v>
      </c>
      <c r="F15" s="17">
        <f>D15 * 0.0990181245</f>
        <v>0</v>
      </c>
      <c r="G15" s="17">
        <f>D15 * 0.0001065745</f>
        <v>0</v>
      </c>
      <c r="H15" s="17">
        <f>D15 * 0.0000007305</f>
        <v>0</v>
      </c>
    </row>
    <row r="16" spans="1:20" x14ac:dyDescent="0.3">
      <c r="D16" s="27" t="s">
        <v>39</v>
      </c>
      <c r="E16" s="34">
        <f>SUM(E12:E15)</f>
        <v>0</v>
      </c>
      <c r="F16" s="29">
        <f>SUM(F12:F15)</f>
        <v>0</v>
      </c>
      <c r="G16" s="29">
        <f>SUM(G12:G15)</f>
        <v>0</v>
      </c>
      <c r="H16" s="29">
        <f>SUM(H12:H15)</f>
        <v>0</v>
      </c>
      <c r="K16"/>
      <c r="L16"/>
      <c r="M16"/>
      <c r="N16"/>
      <c r="O16"/>
      <c r="P16"/>
      <c r="Q16"/>
      <c r="R16"/>
      <c r="S16"/>
    </row>
    <row r="17" spans="1:19" x14ac:dyDescent="0.3">
      <c r="K17"/>
      <c r="L17"/>
      <c r="M17"/>
      <c r="N17"/>
      <c r="O17"/>
      <c r="P17"/>
      <c r="Q17"/>
      <c r="R17"/>
      <c r="S17"/>
    </row>
    <row r="18" spans="1:19" ht="15" thickBot="1" x14ac:dyDescent="0.35">
      <c r="A18" s="96" t="s">
        <v>61</v>
      </c>
      <c r="B18" s="37"/>
      <c r="C18" s="37"/>
      <c r="D18" s="37"/>
      <c r="E18" s="37"/>
      <c r="F18" s="37"/>
      <c r="G18" s="37"/>
      <c r="H18" s="37"/>
      <c r="K18"/>
      <c r="L18"/>
      <c r="M18"/>
      <c r="N18"/>
      <c r="O18"/>
      <c r="P18"/>
      <c r="Q18"/>
      <c r="R18"/>
      <c r="S18"/>
    </row>
    <row r="19" spans="1:19" ht="15" thickBot="1" x14ac:dyDescent="0.35">
      <c r="A19" s="128" t="s">
        <v>18</v>
      </c>
      <c r="B19" s="137"/>
      <c r="C19" s="50" t="s">
        <v>19</v>
      </c>
      <c r="D19" s="51" t="s">
        <v>20</v>
      </c>
      <c r="E19" s="32" t="s">
        <v>12</v>
      </c>
      <c r="F19" s="4" t="s">
        <v>13</v>
      </c>
      <c r="G19" s="4" t="s">
        <v>14</v>
      </c>
      <c r="H19" s="4" t="s">
        <v>15</v>
      </c>
      <c r="K19"/>
      <c r="L19"/>
      <c r="M19"/>
      <c r="N19"/>
      <c r="O19"/>
      <c r="P19"/>
      <c r="Q19"/>
      <c r="R19"/>
      <c r="S19"/>
    </row>
    <row r="20" spans="1:19" x14ac:dyDescent="0.3">
      <c r="A20" s="94" t="s">
        <v>59</v>
      </c>
      <c r="B20" s="48">
        <v>2023</v>
      </c>
      <c r="C20" s="23" t="s">
        <v>36</v>
      </c>
      <c r="D20" s="15"/>
      <c r="E20" s="16">
        <f>F20 + G20 + H20</f>
        <v>0</v>
      </c>
      <c r="F20" s="17">
        <f>D20 * 0.0720796829</f>
        <v>0</v>
      </c>
      <c r="G20" s="17">
        <f>D20 * 0.0019395068</f>
        <v>0</v>
      </c>
      <c r="H20" s="17">
        <f>D20 * 0.0001584628</f>
        <v>0</v>
      </c>
      <c r="K20"/>
      <c r="L20"/>
      <c r="M20"/>
      <c r="N20"/>
      <c r="O20"/>
      <c r="P20"/>
      <c r="Q20"/>
      <c r="R20"/>
      <c r="S20"/>
    </row>
    <row r="21" spans="1:19" x14ac:dyDescent="0.3">
      <c r="E21"/>
      <c r="K21"/>
      <c r="L21"/>
      <c r="M21"/>
      <c r="N21"/>
      <c r="O21"/>
      <c r="P21"/>
      <c r="Q21"/>
      <c r="R21"/>
      <c r="S21"/>
    </row>
    <row r="22" spans="1:19" x14ac:dyDescent="0.3">
      <c r="F22" s="97"/>
      <c r="K22"/>
      <c r="L22"/>
      <c r="M22"/>
      <c r="N22"/>
      <c r="O22"/>
      <c r="P22"/>
      <c r="Q22"/>
      <c r="R22"/>
      <c r="S22"/>
    </row>
    <row r="23" spans="1:19" x14ac:dyDescent="0.3">
      <c r="K23"/>
      <c r="L23"/>
      <c r="M23"/>
      <c r="N23"/>
      <c r="O23"/>
      <c r="P23"/>
      <c r="Q23"/>
      <c r="R23"/>
      <c r="S23"/>
    </row>
    <row r="24" spans="1:19" x14ac:dyDescent="0.3">
      <c r="B24"/>
      <c r="C24"/>
      <c r="D24"/>
      <c r="E24"/>
      <c r="F24"/>
      <c r="G24"/>
      <c r="H24"/>
      <c r="I24"/>
      <c r="J24"/>
      <c r="K24"/>
      <c r="L24"/>
      <c r="M24"/>
      <c r="N24"/>
      <c r="O24"/>
      <c r="P24"/>
      <c r="Q24"/>
      <c r="R24"/>
      <c r="S24"/>
    </row>
    <row r="25" spans="1:19" x14ac:dyDescent="0.3">
      <c r="B25"/>
      <c r="C25"/>
      <c r="D25"/>
      <c r="E25"/>
      <c r="F25"/>
      <c r="G25"/>
      <c r="H25"/>
      <c r="I25"/>
      <c r="J25"/>
      <c r="K25"/>
      <c r="L25"/>
      <c r="M25"/>
      <c r="N25"/>
      <c r="O25"/>
      <c r="P25"/>
      <c r="Q25"/>
      <c r="R25"/>
      <c r="S25"/>
    </row>
    <row r="26" spans="1:19" x14ac:dyDescent="0.3">
      <c r="B26"/>
      <c r="C26"/>
      <c r="D26"/>
      <c r="E26"/>
      <c r="F26"/>
      <c r="G26"/>
      <c r="H26"/>
      <c r="I26"/>
      <c r="J26"/>
      <c r="K26"/>
      <c r="L26"/>
      <c r="M26"/>
      <c r="N26"/>
      <c r="O26"/>
      <c r="P26"/>
      <c r="Q26"/>
      <c r="R26"/>
      <c r="S26"/>
    </row>
    <row r="27" spans="1:19" x14ac:dyDescent="0.3">
      <c r="B27"/>
      <c r="C27"/>
      <c r="D27"/>
      <c r="E27"/>
      <c r="F27"/>
      <c r="G27"/>
      <c r="H27"/>
      <c r="I27"/>
      <c r="J27"/>
      <c r="K27"/>
      <c r="L27"/>
      <c r="M27"/>
      <c r="N27"/>
      <c r="O27"/>
      <c r="P27"/>
      <c r="Q27"/>
      <c r="R27"/>
      <c r="S27"/>
    </row>
    <row r="28" spans="1:19" x14ac:dyDescent="0.3">
      <c r="B28"/>
      <c r="C28"/>
      <c r="D28"/>
      <c r="E28"/>
      <c r="F28"/>
      <c r="G28"/>
      <c r="H28"/>
      <c r="I28"/>
      <c r="J28"/>
      <c r="K28"/>
      <c r="L28"/>
      <c r="M28"/>
      <c r="N28"/>
      <c r="O28"/>
      <c r="P28"/>
      <c r="Q28"/>
      <c r="R28"/>
      <c r="S28"/>
    </row>
    <row r="29" spans="1:19" x14ac:dyDescent="0.3">
      <c r="B29"/>
      <c r="C29"/>
      <c r="D29"/>
      <c r="E29"/>
      <c r="F29"/>
      <c r="G29"/>
      <c r="H29"/>
      <c r="I29"/>
      <c r="J29"/>
      <c r="K29"/>
      <c r="L29"/>
      <c r="M29"/>
      <c r="N29"/>
      <c r="O29"/>
      <c r="P29"/>
      <c r="Q29"/>
      <c r="R29"/>
      <c r="S29"/>
    </row>
    <row r="30" spans="1:19" x14ac:dyDescent="0.3">
      <c r="B30"/>
      <c r="C30"/>
      <c r="D30"/>
      <c r="E30"/>
      <c r="F30"/>
      <c r="G30"/>
      <c r="H30"/>
      <c r="I30"/>
      <c r="J30"/>
      <c r="K30"/>
      <c r="L30"/>
      <c r="M30"/>
      <c r="N30"/>
      <c r="O30"/>
      <c r="P30"/>
      <c r="Q30"/>
      <c r="R30"/>
      <c r="S30"/>
    </row>
    <row r="31" spans="1:19" x14ac:dyDescent="0.3">
      <c r="B31"/>
      <c r="C31"/>
      <c r="D31"/>
      <c r="E31"/>
      <c r="F31"/>
      <c r="G31"/>
      <c r="H31"/>
      <c r="I31"/>
      <c r="J31"/>
      <c r="K31"/>
      <c r="L31"/>
      <c r="M31"/>
      <c r="N31"/>
      <c r="O31"/>
      <c r="P31"/>
      <c r="Q31"/>
      <c r="R31"/>
      <c r="S31"/>
    </row>
    <row r="32" spans="1:19" x14ac:dyDescent="0.3">
      <c r="B32"/>
      <c r="C32"/>
      <c r="D32"/>
      <c r="E32"/>
      <c r="F32"/>
      <c r="G32"/>
      <c r="H32"/>
      <c r="I32"/>
      <c r="J32"/>
      <c r="K32"/>
      <c r="L32"/>
      <c r="M32"/>
      <c r="N32"/>
      <c r="O32"/>
      <c r="P32"/>
      <c r="Q32"/>
      <c r="R32"/>
      <c r="S32"/>
    </row>
    <row r="33" spans="2:11" x14ac:dyDescent="0.3">
      <c r="B33"/>
      <c r="C33"/>
      <c r="D33"/>
      <c r="E33"/>
      <c r="F33"/>
      <c r="G33"/>
      <c r="H33"/>
      <c r="I33"/>
      <c r="J33"/>
      <c r="K33"/>
    </row>
    <row r="34" spans="2:11" x14ac:dyDescent="0.3">
      <c r="B34"/>
      <c r="C34"/>
      <c r="D34"/>
      <c r="E34"/>
      <c r="F34"/>
      <c r="G34"/>
      <c r="H34"/>
      <c r="I34"/>
      <c r="J34"/>
      <c r="K34"/>
    </row>
    <row r="35" spans="2:11" x14ac:dyDescent="0.3">
      <c r="B35"/>
      <c r="C35"/>
      <c r="D35"/>
      <c r="E35"/>
      <c r="F35"/>
      <c r="G35"/>
      <c r="H35"/>
      <c r="I35"/>
      <c r="J35"/>
      <c r="K35"/>
    </row>
    <row r="36" spans="2:11" x14ac:dyDescent="0.3">
      <c r="B36"/>
      <c r="C36"/>
      <c r="D36"/>
      <c r="E36"/>
      <c r="F36"/>
      <c r="G36"/>
      <c r="H36"/>
      <c r="I36"/>
      <c r="J36"/>
      <c r="K36"/>
    </row>
    <row r="37" spans="2:11" x14ac:dyDescent="0.3">
      <c r="B37"/>
      <c r="C37"/>
      <c r="D37"/>
      <c r="E37"/>
      <c r="F37"/>
      <c r="G37"/>
      <c r="H37"/>
      <c r="I37"/>
      <c r="J37"/>
      <c r="K37"/>
    </row>
    <row r="38" spans="2:11" x14ac:dyDescent="0.3">
      <c r="B38"/>
      <c r="C38"/>
      <c r="D38"/>
      <c r="E38"/>
      <c r="F38"/>
      <c r="G38"/>
      <c r="H38"/>
      <c r="I38"/>
      <c r="J38"/>
      <c r="K38"/>
    </row>
    <row r="39" spans="2:11" x14ac:dyDescent="0.3">
      <c r="B39"/>
      <c r="C39"/>
      <c r="D39"/>
      <c r="E39"/>
      <c r="F39"/>
      <c r="G39"/>
      <c r="H39"/>
      <c r="I39"/>
      <c r="J39"/>
      <c r="K39"/>
    </row>
    <row r="40" spans="2:11" x14ac:dyDescent="0.3">
      <c r="B40"/>
      <c r="C40"/>
      <c r="D40"/>
      <c r="E40"/>
      <c r="F40"/>
      <c r="G40"/>
      <c r="H40"/>
      <c r="I40"/>
      <c r="J40"/>
      <c r="K40"/>
    </row>
    <row r="41" spans="2:11" x14ac:dyDescent="0.3">
      <c r="B41"/>
      <c r="C41"/>
      <c r="D41"/>
      <c r="E41"/>
      <c r="F41"/>
      <c r="G41"/>
      <c r="H41"/>
      <c r="I41"/>
      <c r="J41"/>
      <c r="K41"/>
    </row>
    <row r="42" spans="2:11" x14ac:dyDescent="0.3">
      <c r="B42"/>
      <c r="C42"/>
      <c r="D42"/>
      <c r="E42"/>
      <c r="F42"/>
      <c r="G42"/>
      <c r="H42"/>
      <c r="I42"/>
      <c r="J42"/>
      <c r="K42"/>
    </row>
    <row r="43" spans="2:11" x14ac:dyDescent="0.3">
      <c r="B43"/>
      <c r="C43"/>
      <c r="D43"/>
      <c r="E43"/>
      <c r="F43"/>
      <c r="G43"/>
      <c r="H43"/>
      <c r="I43"/>
      <c r="J43"/>
      <c r="K43"/>
    </row>
    <row r="44" spans="2:11" x14ac:dyDescent="0.3">
      <c r="B44"/>
      <c r="C44"/>
      <c r="D44"/>
      <c r="E44"/>
      <c r="F44"/>
      <c r="G44"/>
      <c r="H44"/>
      <c r="I44"/>
      <c r="J44"/>
      <c r="K44"/>
    </row>
    <row r="45" spans="2:11" x14ac:dyDescent="0.3">
      <c r="B45"/>
      <c r="C45"/>
      <c r="D45"/>
      <c r="E45"/>
      <c r="F45"/>
      <c r="G45"/>
      <c r="H45"/>
      <c r="I45"/>
      <c r="J45"/>
      <c r="K45"/>
    </row>
    <row r="46" spans="2:11" x14ac:dyDescent="0.3">
      <c r="B46"/>
      <c r="C46"/>
      <c r="D46"/>
      <c r="E46"/>
      <c r="F46"/>
      <c r="G46"/>
      <c r="H46"/>
      <c r="I46"/>
      <c r="J46"/>
      <c r="K46"/>
    </row>
    <row r="47" spans="2:11" x14ac:dyDescent="0.3">
      <c r="B47"/>
      <c r="C47"/>
      <c r="D47"/>
      <c r="E47"/>
      <c r="F47"/>
      <c r="G47"/>
      <c r="H47"/>
      <c r="I47"/>
      <c r="J47"/>
      <c r="K47"/>
    </row>
    <row r="48" spans="2:11" x14ac:dyDescent="0.3">
      <c r="B48"/>
      <c r="C48"/>
      <c r="D48"/>
      <c r="E48"/>
      <c r="F48"/>
      <c r="G48"/>
      <c r="H48"/>
      <c r="I48"/>
      <c r="J48"/>
      <c r="K48"/>
    </row>
    <row r="49" spans="2:11" x14ac:dyDescent="0.3">
      <c r="B49"/>
      <c r="C49"/>
      <c r="D49"/>
      <c r="E49"/>
      <c r="F49"/>
      <c r="G49"/>
      <c r="H49"/>
      <c r="I49"/>
      <c r="J49"/>
      <c r="K49"/>
    </row>
    <row r="50" spans="2:11" x14ac:dyDescent="0.3">
      <c r="B50"/>
      <c r="C50"/>
      <c r="D50"/>
      <c r="E50"/>
      <c r="F50"/>
      <c r="G50"/>
      <c r="H50"/>
      <c r="I50"/>
      <c r="J50"/>
      <c r="K50"/>
    </row>
    <row r="51" spans="2:11" x14ac:dyDescent="0.3">
      <c r="B51"/>
      <c r="C51"/>
      <c r="D51"/>
      <c r="E51"/>
      <c r="F51"/>
      <c r="G51"/>
      <c r="H51"/>
      <c r="I51"/>
      <c r="J51"/>
      <c r="K51"/>
    </row>
    <row r="52" spans="2:11" x14ac:dyDescent="0.3">
      <c r="B52"/>
      <c r="C52"/>
      <c r="D52"/>
      <c r="E52"/>
      <c r="F52"/>
      <c r="G52"/>
      <c r="H52"/>
      <c r="I52"/>
      <c r="J52"/>
      <c r="K52"/>
    </row>
    <row r="53" spans="2:11" x14ac:dyDescent="0.3">
      <c r="B53"/>
      <c r="C53"/>
      <c r="D53"/>
      <c r="E53"/>
      <c r="F53"/>
      <c r="G53"/>
      <c r="H53"/>
      <c r="I53"/>
      <c r="J53"/>
      <c r="K53"/>
    </row>
  </sheetData>
  <mergeCells count="4">
    <mergeCell ref="A2:T2"/>
    <mergeCell ref="A5:H5"/>
    <mergeCell ref="A6:H6"/>
    <mergeCell ref="A19:B1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FE711-9219-44C3-B803-81B7AA886F03}">
  <sheetPr>
    <tabColor theme="4"/>
  </sheetPr>
  <dimension ref="B2"/>
  <sheetViews>
    <sheetView workbookViewId="0"/>
  </sheetViews>
  <sheetFormatPr defaultRowHeight="14.4" x14ac:dyDescent="0.3"/>
  <sheetData>
    <row r="2" spans="2:2" x14ac:dyDescent="0.3">
      <c r="B2" t="s">
        <v>605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A97C-33FB-4BA9-B0B8-1E1332A5FCC5}">
  <sheetPr>
    <tabColor theme="4" tint="0.39997558519241921"/>
  </sheetPr>
  <dimension ref="A1:T16"/>
  <sheetViews>
    <sheetView showGridLines="0" workbookViewId="0">
      <selection activeCell="F23" sqref="F23"/>
    </sheetView>
  </sheetViews>
  <sheetFormatPr defaultColWidth="11.44140625" defaultRowHeight="14.4" x14ac:dyDescent="0.3"/>
  <cols>
    <col min="1" max="1" width="33.44140625" style="2" customWidth="1"/>
    <col min="2" max="2" width="18.6640625" style="2" customWidth="1"/>
    <col min="3" max="3" width="15.88671875" style="2" customWidth="1"/>
    <col min="4" max="4" width="7.5546875" style="2" customWidth="1"/>
    <col min="5" max="5" width="15.44140625" style="2" customWidth="1"/>
    <col min="6" max="9" width="14.6640625" style="2" customWidth="1"/>
    <col min="10" max="10" width="3.44140625" style="2" customWidth="1"/>
    <col min="11" max="11" width="52.33203125" style="2" customWidth="1"/>
    <col min="12" max="99" width="10.6640625" style="2" customWidth="1"/>
    <col min="100" max="16384" width="11.44140625" style="2"/>
  </cols>
  <sheetData>
    <row r="1" spans="1:20" ht="31.2" x14ac:dyDescent="0.3">
      <c r="A1" s="1" t="s">
        <v>7</v>
      </c>
    </row>
    <row r="2" spans="1:20" ht="23.4" x14ac:dyDescent="0.3">
      <c r="A2" s="130" t="s">
        <v>53</v>
      </c>
      <c r="B2" s="102"/>
      <c r="C2" s="102"/>
      <c r="D2" s="102"/>
      <c r="E2" s="102"/>
      <c r="F2" s="102"/>
      <c r="G2" s="102"/>
      <c r="H2" s="102"/>
      <c r="I2" s="102"/>
      <c r="J2" s="102"/>
      <c r="K2" s="102"/>
      <c r="L2" s="102"/>
      <c r="M2" s="102"/>
      <c r="N2" s="102"/>
      <c r="O2" s="102"/>
      <c r="P2" s="102"/>
      <c r="Q2" s="102"/>
      <c r="R2" s="102"/>
      <c r="S2" s="102"/>
      <c r="T2" s="102"/>
    </row>
    <row r="4" spans="1:20" ht="31.2" x14ac:dyDescent="0.3">
      <c r="A4" s="1" t="s">
        <v>54</v>
      </c>
    </row>
    <row r="5" spans="1:20" x14ac:dyDescent="0.3">
      <c r="A5" s="37" t="s">
        <v>10</v>
      </c>
      <c r="B5" s="37"/>
      <c r="C5" s="37"/>
      <c r="D5" s="37"/>
      <c r="E5" s="37"/>
      <c r="F5" s="37"/>
      <c r="G5" s="37"/>
      <c r="H5" s="37"/>
      <c r="I5" s="37"/>
    </row>
    <row r="6" spans="1:20" ht="15" customHeight="1" x14ac:dyDescent="0.3">
      <c r="A6" s="134" t="s">
        <v>55</v>
      </c>
      <c r="B6" s="135"/>
      <c r="C6" s="135"/>
      <c r="D6" s="135"/>
      <c r="E6" s="135"/>
      <c r="F6" s="135"/>
      <c r="G6" s="135"/>
      <c r="H6" s="135"/>
      <c r="I6" s="135"/>
    </row>
    <row r="8" spans="1:20" ht="47.4" thickBot="1" x14ac:dyDescent="0.35">
      <c r="A8" s="111" t="s">
        <v>56</v>
      </c>
      <c r="B8" s="111"/>
      <c r="C8" s="111"/>
      <c r="D8" s="111"/>
      <c r="E8" s="111"/>
      <c r="F8" s="111"/>
      <c r="G8" s="111"/>
      <c r="H8" s="111"/>
      <c r="I8" s="111"/>
      <c r="K8" s="99" t="s">
        <v>629</v>
      </c>
    </row>
    <row r="9" spans="1:20" ht="15" thickBot="1" x14ac:dyDescent="0.35">
      <c r="A9" s="137" t="s">
        <v>18</v>
      </c>
      <c r="B9" s="138"/>
      <c r="C9" s="138"/>
      <c r="D9" s="39" t="s">
        <v>19</v>
      </c>
      <c r="E9" s="11" t="s">
        <v>20</v>
      </c>
      <c r="F9" s="32" t="s">
        <v>12</v>
      </c>
      <c r="G9" s="32" t="s">
        <v>13</v>
      </c>
      <c r="H9" s="32" t="s">
        <v>14</v>
      </c>
      <c r="I9" s="32" t="s">
        <v>15</v>
      </c>
    </row>
    <row r="10" spans="1:20" x14ac:dyDescent="0.3">
      <c r="A10" s="129" t="s">
        <v>56</v>
      </c>
      <c r="B10" s="139"/>
      <c r="C10" s="13" t="s">
        <v>57</v>
      </c>
      <c r="D10" s="23" t="s">
        <v>36</v>
      </c>
      <c r="E10" s="42"/>
      <c r="F10" s="16">
        <f>G10 + H10 + I10</f>
        <v>0</v>
      </c>
      <c r="G10" s="17">
        <f>E10 * 0.0000577601</f>
        <v>0</v>
      </c>
      <c r="H10" s="17">
        <f>E10 * 0.0070732109</f>
        <v>0</v>
      </c>
      <c r="I10" s="17">
        <f>E10 * 0</f>
        <v>0</v>
      </c>
    </row>
    <row r="11" spans="1:20" ht="15" thickBot="1" x14ac:dyDescent="0.35">
      <c r="A11" s="129"/>
      <c r="B11" s="139"/>
      <c r="C11" s="13" t="s">
        <v>57</v>
      </c>
      <c r="D11" s="23" t="s">
        <v>37</v>
      </c>
      <c r="E11" s="43"/>
      <c r="F11" s="44">
        <f>G11 + H11 + I11</f>
        <v>0</v>
      </c>
      <c r="G11" s="45">
        <f>E11 * 0.0160444692</f>
        <v>0</v>
      </c>
      <c r="H11" s="45">
        <f>E11 * 1.9647808016</f>
        <v>0</v>
      </c>
      <c r="I11" s="45">
        <f>E11 * 0</f>
        <v>0</v>
      </c>
    </row>
    <row r="12" spans="1:20" x14ac:dyDescent="0.3">
      <c r="C12" s="26"/>
      <c r="D12" s="26"/>
      <c r="E12" s="27" t="s">
        <v>39</v>
      </c>
      <c r="F12" s="46">
        <f>SUM(F10:F11)</f>
        <v>0</v>
      </c>
      <c r="G12" s="47">
        <f>SUM(G10:G11)</f>
        <v>0</v>
      </c>
      <c r="H12" s="47">
        <f>SUM(H10:H11)</f>
        <v>0</v>
      </c>
      <c r="I12" s="47">
        <f>SUM(I10:I11)</f>
        <v>0</v>
      </c>
    </row>
    <row r="14" spans="1:20" ht="15" thickBot="1" x14ac:dyDescent="0.35">
      <c r="A14" s="111" t="s">
        <v>56</v>
      </c>
      <c r="B14" s="111"/>
      <c r="C14" s="111"/>
      <c r="D14" s="111"/>
      <c r="E14" s="111"/>
      <c r="F14" s="111"/>
      <c r="G14" s="111"/>
      <c r="H14" s="111"/>
      <c r="I14" s="111"/>
    </row>
    <row r="15" spans="1:20" ht="15" thickBot="1" x14ac:dyDescent="0.35">
      <c r="A15" s="128" t="s">
        <v>18</v>
      </c>
      <c r="B15" s="128"/>
      <c r="C15" s="112"/>
      <c r="D15" s="39" t="s">
        <v>19</v>
      </c>
      <c r="E15" s="11" t="s">
        <v>20</v>
      </c>
      <c r="F15" s="32" t="s">
        <v>12</v>
      </c>
      <c r="G15" s="32" t="s">
        <v>13</v>
      </c>
      <c r="H15" s="32" t="s">
        <v>14</v>
      </c>
      <c r="I15" s="32" t="s">
        <v>15</v>
      </c>
    </row>
    <row r="16" spans="1:20" x14ac:dyDescent="0.3">
      <c r="A16" s="98" t="s">
        <v>56</v>
      </c>
      <c r="B16" s="48">
        <v>2023</v>
      </c>
      <c r="C16" s="13" t="s">
        <v>59</v>
      </c>
      <c r="D16" s="23" t="s">
        <v>36</v>
      </c>
      <c r="E16" s="42"/>
      <c r="F16" s="16">
        <f t="shared" ref="F16" si="0">G16 + H16 + I16</f>
        <v>0</v>
      </c>
      <c r="G16" s="17">
        <f>E16 * 0.0083582457</f>
        <v>0</v>
      </c>
      <c r="H16" s="17">
        <f>E16 * 0.0002249021</f>
        <v>0</v>
      </c>
      <c r="I16" s="17">
        <f>E16 * 0.0000183751</f>
        <v>0</v>
      </c>
    </row>
  </sheetData>
  <mergeCells count="7">
    <mergeCell ref="A15:C15"/>
    <mergeCell ref="A2:T2"/>
    <mergeCell ref="A6:I6"/>
    <mergeCell ref="A8:I8"/>
    <mergeCell ref="A9:C9"/>
    <mergeCell ref="A10:B11"/>
    <mergeCell ref="A14:I14"/>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BE38-513C-4E5F-B39C-DF585290D414}">
  <sheetPr>
    <tabColor theme="4" tint="0.39997558519241921"/>
  </sheetPr>
  <dimension ref="A1:T13"/>
  <sheetViews>
    <sheetView showGridLines="0" workbookViewId="0"/>
  </sheetViews>
  <sheetFormatPr defaultColWidth="11.44140625" defaultRowHeight="14.4" x14ac:dyDescent="0.3"/>
  <cols>
    <col min="1" max="1" width="25.5546875" style="2" customWidth="1"/>
    <col min="2" max="2" width="22.33203125" style="2" customWidth="1"/>
    <col min="3" max="3" width="17" style="2" customWidth="1"/>
    <col min="4" max="4" width="17.44140625" style="2" customWidth="1"/>
    <col min="5" max="8" width="16.5546875" style="2" customWidth="1"/>
    <col min="9" max="9" width="39" style="2" customWidth="1"/>
    <col min="10" max="10" width="7.5546875" style="2" customWidth="1"/>
    <col min="11" max="11" width="33.33203125" style="2" customWidth="1"/>
    <col min="12" max="99" width="10.6640625" style="2" customWidth="1"/>
    <col min="100" max="16384" width="11.44140625" style="2"/>
  </cols>
  <sheetData>
    <row r="1" spans="1:20" ht="31.2" x14ac:dyDescent="0.3">
      <c r="A1" s="1" t="s">
        <v>7</v>
      </c>
    </row>
    <row r="2" spans="1:20" ht="23.4" x14ac:dyDescent="0.3">
      <c r="A2" s="130" t="s">
        <v>8</v>
      </c>
      <c r="B2" s="102"/>
      <c r="C2" s="102"/>
      <c r="D2" s="102"/>
      <c r="E2" s="102"/>
      <c r="F2" s="102"/>
      <c r="G2" s="102"/>
      <c r="H2" s="102"/>
      <c r="I2" s="102"/>
      <c r="J2" s="102"/>
      <c r="K2" s="102"/>
      <c r="L2" s="102"/>
      <c r="M2" s="102"/>
      <c r="N2" s="102"/>
      <c r="O2" s="102"/>
      <c r="P2" s="102"/>
      <c r="Q2" s="102"/>
      <c r="R2" s="102"/>
      <c r="S2" s="102"/>
      <c r="T2" s="102"/>
    </row>
    <row r="4" spans="1:20" ht="31.2" x14ac:dyDescent="0.3">
      <c r="A4" s="1" t="s">
        <v>64</v>
      </c>
    </row>
    <row r="5" spans="1:20" x14ac:dyDescent="0.3">
      <c r="A5" s="131" t="s">
        <v>10</v>
      </c>
      <c r="B5" s="131"/>
      <c r="C5" s="131"/>
      <c r="D5" s="131"/>
      <c r="E5" s="131"/>
      <c r="F5" s="131"/>
      <c r="G5" s="131"/>
      <c r="H5" s="131"/>
      <c r="I5" s="131"/>
    </row>
    <row r="6" spans="1:20" ht="65.25" customHeight="1" x14ac:dyDescent="0.3">
      <c r="A6" s="142" t="s">
        <v>65</v>
      </c>
      <c r="B6" s="143"/>
      <c r="C6" s="143"/>
      <c r="D6" s="143"/>
      <c r="E6" s="143"/>
      <c r="F6" s="143"/>
      <c r="G6" s="143"/>
      <c r="H6" s="143"/>
      <c r="I6" s="143"/>
    </row>
    <row r="8" spans="1:20" ht="63" thickBot="1" x14ac:dyDescent="0.35">
      <c r="A8" s="111" t="s">
        <v>64</v>
      </c>
      <c r="B8" s="111"/>
      <c r="C8" s="144"/>
      <c r="D8" s="144"/>
      <c r="E8" s="111"/>
      <c r="F8" s="111"/>
      <c r="G8" s="111"/>
      <c r="H8" s="111"/>
      <c r="I8" s="111"/>
      <c r="K8" s="99" t="s">
        <v>630</v>
      </c>
    </row>
    <row r="9" spans="1:20" ht="15" thickBot="1" x14ac:dyDescent="0.35">
      <c r="A9" s="128" t="s">
        <v>18</v>
      </c>
      <c r="B9" s="112"/>
      <c r="C9" s="55" t="s">
        <v>19</v>
      </c>
      <c r="D9" s="51" t="s">
        <v>20</v>
      </c>
      <c r="E9" s="32" t="s">
        <v>12</v>
      </c>
      <c r="F9" s="32" t="s">
        <v>13</v>
      </c>
      <c r="G9" s="32" t="s">
        <v>14</v>
      </c>
      <c r="H9" s="32" t="s">
        <v>15</v>
      </c>
      <c r="I9" s="30" t="s">
        <v>66</v>
      </c>
    </row>
    <row r="10" spans="1:20" x14ac:dyDescent="0.3">
      <c r="A10" s="140" t="s">
        <v>67</v>
      </c>
      <c r="B10" s="141" t="s">
        <v>67</v>
      </c>
      <c r="C10" s="56" t="s">
        <v>68</v>
      </c>
      <c r="D10" s="15"/>
      <c r="E10" s="16">
        <f>F10 + G10 + H10</f>
        <v>0</v>
      </c>
      <c r="F10" s="17">
        <f>D10 * 0.3544095136</f>
        <v>0</v>
      </c>
      <c r="G10" s="17">
        <f>D10 * 0.0095363859</f>
        <v>0</v>
      </c>
      <c r="H10" s="17">
        <f>D10 * 0.0007791479</f>
        <v>0</v>
      </c>
      <c r="I10" s="13" t="s">
        <v>69</v>
      </c>
    </row>
    <row r="11" spans="1:20" x14ac:dyDescent="0.3">
      <c r="A11" s="140" t="s">
        <v>70</v>
      </c>
      <c r="B11" s="141" t="s">
        <v>70</v>
      </c>
      <c r="C11" s="56" t="s">
        <v>68</v>
      </c>
      <c r="D11" s="19"/>
      <c r="E11" s="16">
        <f>F11 + G11 + H11</f>
        <v>0</v>
      </c>
      <c r="F11" s="17">
        <f>D11 * 0.0527672812</f>
        <v>0</v>
      </c>
      <c r="G11" s="17">
        <f>D11 * 0.0014198523</f>
        <v>0</v>
      </c>
      <c r="H11" s="17">
        <f>D11 * 0.0001160057</f>
        <v>0</v>
      </c>
      <c r="I11" s="13" t="s">
        <v>69</v>
      </c>
    </row>
    <row r="12" spans="1:20" ht="15" thickBot="1" x14ac:dyDescent="0.35">
      <c r="A12" s="140" t="s">
        <v>71</v>
      </c>
      <c r="B12" s="141" t="s">
        <v>71</v>
      </c>
      <c r="C12" s="56" t="s">
        <v>68</v>
      </c>
      <c r="D12" s="22"/>
      <c r="E12" s="16">
        <f>F12 + G12 + H12</f>
        <v>0</v>
      </c>
      <c r="F12" s="17">
        <f>D12 * 0.7767086389</f>
        <v>0</v>
      </c>
      <c r="G12" s="17">
        <f>D12 * 0.020899533</f>
        <v>0</v>
      </c>
      <c r="H12" s="17">
        <f>D12 * 0.001707547</f>
        <v>0</v>
      </c>
      <c r="I12" s="13" t="s">
        <v>69</v>
      </c>
    </row>
    <row r="13" spans="1:20" x14ac:dyDescent="0.3">
      <c r="D13" s="27" t="s">
        <v>39</v>
      </c>
      <c r="E13" s="34">
        <f>SUM(E10:E12)</f>
        <v>0</v>
      </c>
      <c r="F13" s="57">
        <f>SUM(F10:F12)</f>
        <v>0</v>
      </c>
      <c r="G13" s="57">
        <f>SUM(G10:G12)</f>
        <v>0</v>
      </c>
      <c r="H13" s="57">
        <f>SUM(H10:H12)</f>
        <v>0</v>
      </c>
    </row>
  </sheetData>
  <mergeCells count="8">
    <mergeCell ref="A11:B11"/>
    <mergeCell ref="A12:B12"/>
    <mergeCell ref="A2:T2"/>
    <mergeCell ref="A5:I5"/>
    <mergeCell ref="A6:I6"/>
    <mergeCell ref="A8:I8"/>
    <mergeCell ref="A9:B9"/>
    <mergeCell ref="A10:B10"/>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Scope 1 &gt;&gt;&gt;</vt:lpstr>
      <vt:lpstr>Fuel</vt:lpstr>
      <vt:lpstr>Refrigerants &amp; other gases</vt:lpstr>
      <vt:lpstr>Scope 2 &gt;&gt;&gt;</vt:lpstr>
      <vt:lpstr>Purchased energy</vt:lpstr>
      <vt:lpstr>Scope 3 Optional &gt;&gt;&gt;</vt:lpstr>
      <vt:lpstr>T&amp;D losses</vt:lpstr>
      <vt:lpstr>Working from home</vt:lpstr>
      <vt:lpstr>Passenger transport</vt:lpstr>
      <vt:lpstr>Freight transport</vt:lpstr>
      <vt:lpstr>Water supply &amp; Wastewater treat</vt:lpstr>
      <vt:lpstr>Waste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Bell</dc:creator>
  <cp:lastModifiedBy>Nathan Bell</cp:lastModifiedBy>
  <dcterms:created xsi:type="dcterms:W3CDTF">2015-06-05T18:17:20Z</dcterms:created>
  <dcterms:modified xsi:type="dcterms:W3CDTF">2024-04-17T02:47:19Z</dcterms:modified>
</cp:coreProperties>
</file>